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ecgo365.sharepoint.com/sites/Clients/ProjectFolders/RMP B&amp;I/Program Design/RMP Tool development/"/>
    </mc:Choice>
  </mc:AlternateContent>
  <xr:revisionPtr revIDLastSave="0" documentId="8_{97542749-0E99-420A-8D11-397B0A37E554}" xr6:coauthVersionLast="47" xr6:coauthVersionMax="47" xr10:uidLastSave="{00000000-0000-0000-0000-000000000000}"/>
  <workbookProtection workbookAlgorithmName="SHA-512" workbookHashValue="uvib5bPfN4Q4ax37m1oCoMhSe2pfgumsupRDkES57PLapergEL4oCGsv+5hzTz3TDSFDAhWnemwwKcTq2QaqxA==" workbookSaltValue="9v5p3kdk9GUGO5W5DrPIhw==" workbookSpinCount="100000" lockStructure="1"/>
  <bookViews>
    <workbookView xWindow="-108" yWindow="-108" windowWidth="23256" windowHeight="12456" xr2:uid="{37271036-5183-4957-8324-75A62F061A0A}"/>
  </bookViews>
  <sheets>
    <sheet name="Express Input Form" sheetId="2" r:id="rId1"/>
    <sheet name="Summary" sheetId="3" r:id="rId2"/>
    <sheet name="PC Uploader" sheetId="5" state="hidden" r:id="rId3"/>
    <sheet name="Dropdown Tables" sheetId="1" state="hidden" r:id="rId4"/>
    <sheet name="Measure Table" sheetId="6" state="hidden" r:id="rId5"/>
  </sheets>
  <definedNames>
    <definedName name="BuildingType">'Dropdown Tables'!$B$2:$B$23</definedName>
    <definedName name="CAP">IF(SMBE_Eligible = "No", 0.7, 0.75)</definedName>
    <definedName name="FixtureClassification">'Dropdown Tables'!$J$2:$J$16</definedName>
    <definedName name="Incentives_Total">'Express Input Form'!$T$48</definedName>
    <definedName name="kW_Rate">'Dropdown Tables'!$N$7</definedName>
    <definedName name="kWh_Rate">'Dropdown Tables'!$N$6</definedName>
    <definedName name="kWhSavings_Total">'Express Input Form'!$R$48</definedName>
    <definedName name="kWSavings_Total">'Express Input Form'!$Q$48</definedName>
    <definedName name="Measure_Translator">'Dropdown Tables'!$P$1:$Q$302</definedName>
    <definedName name="PaybackwithIncentive">('Express Input Form'!$Q$10-TotalCappedIncentive)/Summary!$D$12</definedName>
    <definedName name="_xlnm.Print_Area" localSheetId="0">'Express Input Form'!$B$2:$T$48</definedName>
    <definedName name="_xlnm.Print_Area" localSheetId="1">Summary!$B$2:$M$46</definedName>
    <definedName name="Rate_Schedules">'Dropdown Tables'!$L$2:$L$5</definedName>
    <definedName name="SMBE_Eligible">'Express Input Form'!$Q$6</definedName>
    <definedName name="SMBEBuildingType">'Dropdown Tables'!$D$2:$D$22</definedName>
    <definedName name="TotalCappedIncentive">MIN(Incentives_Total, TotalCost * CAP)</definedName>
    <definedName name="TotalCost">'Express Input Form'!$Q$10</definedName>
    <definedName name="TotalProjectWattage">'Express Input Form'!$L$48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5" l="1" a="1"/>
  <c r="P36" i="5" s="1"/>
  <c r="P35" i="5" a="1"/>
  <c r="P35" i="5" s="1"/>
  <c r="P34" i="5" a="1"/>
  <c r="P34" i="5" s="1"/>
  <c r="P33" i="5" a="1"/>
  <c r="P33" i="5" s="1"/>
  <c r="P32" i="5" a="1"/>
  <c r="P32" i="5" s="1"/>
  <c r="P31" i="5" a="1"/>
  <c r="P31" i="5" s="1"/>
  <c r="P30" i="5" a="1"/>
  <c r="P30" i="5" s="1"/>
  <c r="P29" i="5" a="1"/>
  <c r="P29" i="5" s="1"/>
  <c r="P28" i="5" a="1"/>
  <c r="P28" i="5" s="1"/>
  <c r="P27" i="5" a="1"/>
  <c r="P27" i="5" s="1"/>
  <c r="P26" i="5" a="1"/>
  <c r="P26" i="5" s="1"/>
  <c r="P25" i="5" a="1"/>
  <c r="P25" i="5" s="1"/>
  <c r="P24" i="5" a="1"/>
  <c r="P24" i="5" s="1"/>
  <c r="P23" i="5" a="1"/>
  <c r="P23" i="5" s="1"/>
  <c r="P22" i="5" a="1"/>
  <c r="P22" i="5" s="1"/>
  <c r="P21" i="5" a="1"/>
  <c r="P21" i="5" s="1"/>
  <c r="P20" i="5" a="1"/>
  <c r="P20" i="5" s="1"/>
  <c r="P19" i="5" a="1"/>
  <c r="P19" i="5" s="1"/>
  <c r="P18" i="5" a="1"/>
  <c r="P18" i="5" s="1"/>
  <c r="P17" i="5" a="1"/>
  <c r="P17" i="5" s="1"/>
  <c r="P16" i="5" a="1"/>
  <c r="P16" i="5" s="1"/>
  <c r="P15" i="5" a="1"/>
  <c r="P15" i="5" s="1"/>
  <c r="P14" i="5" a="1"/>
  <c r="P14" i="5" s="1"/>
  <c r="P13" i="5" a="1"/>
  <c r="P13" i="5" s="1"/>
  <c r="P12" i="5" a="1"/>
  <c r="P12" i="5" s="1"/>
  <c r="P11" i="5" a="1"/>
  <c r="P11" i="5" s="1"/>
  <c r="P10" i="5" a="1"/>
  <c r="P10" i="5" s="1"/>
  <c r="P9" i="5" a="1"/>
  <c r="P9" i="5" s="1"/>
  <c r="P8" i="5" a="1"/>
  <c r="P8" i="5" s="1"/>
  <c r="P7" i="5" a="1"/>
  <c r="P7" i="5" s="1"/>
  <c r="P6" i="5" a="1"/>
  <c r="P6" i="5" s="1"/>
  <c r="P5" i="5" a="1"/>
  <c r="P5" i="5" s="1"/>
  <c r="P4" i="5" a="1"/>
  <c r="P4" i="5" s="1"/>
  <c r="P3" i="5" a="1"/>
  <c r="P3" i="5" s="1"/>
  <c r="P2" i="5" a="1"/>
  <c r="P2" i="5" s="1"/>
  <c r="C36" i="3" l="1"/>
  <c r="A2" i="5" l="1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D2" i="5"/>
  <c r="J44" i="3"/>
  <c r="N7" i="1" l="1"/>
  <c r="N6" i="1"/>
  <c r="L13" i="2" l="1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G48" i="2"/>
  <c r="F48" i="2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1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1" i="5"/>
  <c r="E1" i="5"/>
  <c r="J45" i="3"/>
  <c r="Q10" i="2"/>
  <c r="I37" i="2"/>
  <c r="K37" i="2" s="1"/>
  <c r="D37" i="2"/>
  <c r="C37" i="2"/>
  <c r="P37" i="2" s="1" a="1"/>
  <c r="P37" i="2" s="1"/>
  <c r="I36" i="2"/>
  <c r="K36" i="2" s="1"/>
  <c r="D36" i="2"/>
  <c r="C36" i="2"/>
  <c r="P36" i="2" s="1" a="1"/>
  <c r="P36" i="2" s="1"/>
  <c r="I47" i="2"/>
  <c r="J47" i="2" s="1"/>
  <c r="I46" i="2"/>
  <c r="K46" i="2" s="1"/>
  <c r="I45" i="2"/>
  <c r="K45" i="2" s="1"/>
  <c r="I44" i="2"/>
  <c r="J44" i="2" s="1"/>
  <c r="I43" i="2"/>
  <c r="J43" i="2" s="1"/>
  <c r="I42" i="2"/>
  <c r="K42" i="2" s="1"/>
  <c r="I41" i="2"/>
  <c r="K41" i="2" s="1"/>
  <c r="I40" i="2"/>
  <c r="J40" i="2" s="1"/>
  <c r="I39" i="2"/>
  <c r="J39" i="2" s="1"/>
  <c r="I38" i="2"/>
  <c r="K38" i="2" s="1"/>
  <c r="I35" i="2"/>
  <c r="J35" i="2" s="1"/>
  <c r="I34" i="2"/>
  <c r="K34" i="2" s="1"/>
  <c r="I33" i="2"/>
  <c r="K33" i="2" s="1"/>
  <c r="I32" i="2"/>
  <c r="J32" i="2" s="1"/>
  <c r="I31" i="2"/>
  <c r="J31" i="2" s="1"/>
  <c r="I30" i="2"/>
  <c r="I29" i="2"/>
  <c r="K29" i="2" s="1"/>
  <c r="I28" i="2"/>
  <c r="J28" i="2" s="1"/>
  <c r="I27" i="2"/>
  <c r="J27" i="2" s="1"/>
  <c r="I26" i="2"/>
  <c r="K26" i="2" s="1"/>
  <c r="I25" i="2"/>
  <c r="K25" i="2" s="1"/>
  <c r="I24" i="2"/>
  <c r="J24" i="2" s="1"/>
  <c r="I23" i="2"/>
  <c r="J23" i="2" s="1"/>
  <c r="I22" i="2"/>
  <c r="K22" i="2" s="1"/>
  <c r="I21" i="2"/>
  <c r="K21" i="2" s="1"/>
  <c r="I20" i="2"/>
  <c r="J20" i="2" s="1"/>
  <c r="I19" i="2"/>
  <c r="J19" i="2" s="1"/>
  <c r="I18" i="2"/>
  <c r="K18" i="2" s="1"/>
  <c r="I17" i="2"/>
  <c r="K17" i="2" s="1"/>
  <c r="K35" i="2" l="1"/>
  <c r="K23" i="2"/>
  <c r="K39" i="2"/>
  <c r="K40" i="2"/>
  <c r="K24" i="2"/>
  <c r="K20" i="2"/>
  <c r="K27" i="2"/>
  <c r="K43" i="2"/>
  <c r="K28" i="2"/>
  <c r="K30" i="2"/>
  <c r="N30" i="2" s="1"/>
  <c r="K44" i="2"/>
  <c r="E18" i="5"/>
  <c r="K31" i="2"/>
  <c r="K32" i="2"/>
  <c r="E15" i="5"/>
  <c r="E31" i="5"/>
  <c r="K19" i="2"/>
  <c r="K47" i="2"/>
  <c r="E27" i="5"/>
  <c r="E14" i="5"/>
  <c r="E30" i="5"/>
  <c r="E34" i="5"/>
  <c r="E35" i="5"/>
  <c r="E6" i="5"/>
  <c r="E7" i="5"/>
  <c r="E22" i="5"/>
  <c r="E23" i="5"/>
  <c r="E10" i="5"/>
  <c r="E11" i="5"/>
  <c r="N29" i="2"/>
  <c r="O29" i="2"/>
  <c r="O41" i="2"/>
  <c r="O21" i="2"/>
  <c r="N42" i="2"/>
  <c r="N21" i="2"/>
  <c r="O34" i="2"/>
  <c r="O42" i="2"/>
  <c r="O46" i="2"/>
  <c r="N22" i="2"/>
  <c r="N17" i="2"/>
  <c r="N38" i="2"/>
  <c r="N45" i="2"/>
  <c r="O22" i="2"/>
  <c r="O17" i="2"/>
  <c r="O38" i="2"/>
  <c r="O45" i="2"/>
  <c r="N18" i="2"/>
  <c r="N25" i="2"/>
  <c r="N46" i="2"/>
  <c r="N26" i="2"/>
  <c r="O26" i="2"/>
  <c r="O33" i="2"/>
  <c r="O18" i="2"/>
  <c r="O25" i="2"/>
  <c r="N33" i="2"/>
  <c r="N34" i="2"/>
  <c r="N41" i="2"/>
  <c r="L48" i="2"/>
  <c r="M45" i="2" s="1"/>
  <c r="L34" i="5" s="1"/>
  <c r="Q22" i="2"/>
  <c r="Q34" i="2"/>
  <c r="Q26" i="2"/>
  <c r="Q38" i="2"/>
  <c r="Q42" i="2"/>
  <c r="Q18" i="2"/>
  <c r="Q33" i="2"/>
  <c r="Q46" i="2"/>
  <c r="Q17" i="2"/>
  <c r="Q21" i="2"/>
  <c r="Q25" i="2"/>
  <c r="Q29" i="2"/>
  <c r="Q41" i="2"/>
  <c r="Q45" i="2"/>
  <c r="J17" i="2"/>
  <c r="J33" i="2"/>
  <c r="J21" i="2"/>
  <c r="J37" i="2"/>
  <c r="J25" i="2"/>
  <c r="J41" i="2"/>
  <c r="J29" i="2"/>
  <c r="J45" i="2"/>
  <c r="J18" i="2"/>
  <c r="J22" i="2"/>
  <c r="J26" i="2"/>
  <c r="J30" i="2"/>
  <c r="J34" i="2"/>
  <c r="J38" i="2"/>
  <c r="J42" i="2"/>
  <c r="J46" i="2"/>
  <c r="J36" i="2"/>
  <c r="C47" i="2"/>
  <c r="P47" i="2" s="1" a="1"/>
  <c r="P47" i="2" s="1"/>
  <c r="C46" i="2"/>
  <c r="P46" i="2" s="1" a="1"/>
  <c r="P46" i="2" s="1"/>
  <c r="C45" i="2"/>
  <c r="P45" i="2" s="1" a="1"/>
  <c r="P45" i="2" s="1"/>
  <c r="C44" i="2"/>
  <c r="P44" i="2" s="1" a="1"/>
  <c r="P44" i="2" s="1"/>
  <c r="C43" i="2"/>
  <c r="P43" i="2" s="1" a="1"/>
  <c r="P43" i="2" s="1"/>
  <c r="C42" i="2"/>
  <c r="P42" i="2" s="1" a="1"/>
  <c r="P42" i="2" s="1"/>
  <c r="C41" i="2"/>
  <c r="P41" i="2" s="1" a="1"/>
  <c r="P41" i="2" s="1"/>
  <c r="C40" i="2"/>
  <c r="P40" i="2" s="1" a="1"/>
  <c r="P40" i="2" s="1"/>
  <c r="C39" i="2"/>
  <c r="P39" i="2" s="1" a="1"/>
  <c r="P39" i="2" s="1"/>
  <c r="C38" i="2"/>
  <c r="P38" i="2" s="1" a="1"/>
  <c r="P38" i="2" s="1"/>
  <c r="C35" i="2"/>
  <c r="P35" i="2" s="1" a="1"/>
  <c r="P35" i="2" s="1"/>
  <c r="C34" i="2"/>
  <c r="P34" i="2" s="1" a="1"/>
  <c r="P34" i="2" s="1"/>
  <c r="C33" i="2"/>
  <c r="P33" i="2" s="1" a="1"/>
  <c r="P33" i="2" s="1"/>
  <c r="C32" i="2"/>
  <c r="P32" i="2" s="1" a="1"/>
  <c r="P32" i="2" s="1"/>
  <c r="C31" i="2"/>
  <c r="P31" i="2" s="1" a="1"/>
  <c r="P31" i="2" s="1"/>
  <c r="C30" i="2"/>
  <c r="P30" i="2" s="1" a="1"/>
  <c r="P30" i="2" s="1"/>
  <c r="C29" i="2"/>
  <c r="P29" i="2" s="1" a="1"/>
  <c r="P29" i="2" s="1"/>
  <c r="C28" i="2"/>
  <c r="P28" i="2" s="1" a="1"/>
  <c r="P28" i="2" s="1"/>
  <c r="C27" i="2"/>
  <c r="P27" i="2" s="1" a="1"/>
  <c r="P27" i="2" s="1"/>
  <c r="C26" i="2"/>
  <c r="P26" i="2" s="1" a="1"/>
  <c r="P26" i="2" s="1"/>
  <c r="C25" i="2"/>
  <c r="P25" i="2" s="1" a="1"/>
  <c r="P25" i="2" s="1"/>
  <c r="C24" i="2"/>
  <c r="P24" i="2" s="1" a="1"/>
  <c r="P24" i="2" s="1"/>
  <c r="C23" i="2"/>
  <c r="P23" i="2" s="1" a="1"/>
  <c r="P23" i="2" s="1"/>
  <c r="C22" i="2"/>
  <c r="P22" i="2" s="1" a="1"/>
  <c r="P22" i="2" s="1"/>
  <c r="C21" i="2"/>
  <c r="P21" i="2" s="1" a="1"/>
  <c r="P21" i="2" s="1"/>
  <c r="C20" i="2"/>
  <c r="P20" i="2" s="1" a="1"/>
  <c r="P20" i="2" s="1"/>
  <c r="C19" i="2"/>
  <c r="P19" i="2" s="1" a="1"/>
  <c r="P19" i="2" s="1"/>
  <c r="C18" i="2"/>
  <c r="P18" i="2" s="1" a="1"/>
  <c r="P18" i="2" s="1"/>
  <c r="C17" i="2"/>
  <c r="P17" i="2" s="1" a="1"/>
  <c r="P17" i="2" s="1"/>
  <c r="C16" i="2"/>
  <c r="P16" i="2" s="1" a="1"/>
  <c r="P16" i="2" s="1"/>
  <c r="C15" i="2"/>
  <c r="P15" i="2" s="1" a="1"/>
  <c r="P15" i="2" s="1"/>
  <c r="C14" i="2"/>
  <c r="P14" i="2" s="1" a="1"/>
  <c r="P14" i="2" s="1"/>
  <c r="C13" i="2"/>
  <c r="P13" i="2" s="1" a="1"/>
  <c r="P13" i="2" s="1"/>
  <c r="D13" i="2"/>
  <c r="D47" i="2"/>
  <c r="D46" i="2"/>
  <c r="D45" i="2"/>
  <c r="D44" i="2"/>
  <c r="D43" i="2"/>
  <c r="D42" i="2"/>
  <c r="D41" i="2"/>
  <c r="D40" i="2"/>
  <c r="D39" i="2"/>
  <c r="D38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I15" i="2" s="1"/>
  <c r="D14" i="2"/>
  <c r="I14" i="2" s="1"/>
  <c r="F35" i="5" l="1"/>
  <c r="C35" i="5" s="1"/>
  <c r="B35" i="5"/>
  <c r="F34" i="5"/>
  <c r="C34" i="5" s="1"/>
  <c r="B34" i="5"/>
  <c r="F30" i="5"/>
  <c r="C30" i="5" s="1"/>
  <c r="B30" i="5"/>
  <c r="F14" i="5"/>
  <c r="C14" i="5" s="1"/>
  <c r="B14" i="5"/>
  <c r="F27" i="5"/>
  <c r="C27" i="5" s="1"/>
  <c r="B27" i="5"/>
  <c r="F11" i="5"/>
  <c r="C11" i="5" s="1"/>
  <c r="B11" i="5"/>
  <c r="F18" i="5"/>
  <c r="C18" i="5" s="1"/>
  <c r="B18" i="5"/>
  <c r="F31" i="5"/>
  <c r="C31" i="5" s="1"/>
  <c r="B31" i="5"/>
  <c r="F23" i="5"/>
  <c r="C23" i="5" s="1"/>
  <c r="B23" i="5"/>
  <c r="F15" i="5"/>
  <c r="C15" i="5" s="1"/>
  <c r="B15" i="5"/>
  <c r="F6" i="5"/>
  <c r="C6" i="5" s="1"/>
  <c r="B6" i="5"/>
  <c r="F10" i="5"/>
  <c r="C10" i="5" s="1"/>
  <c r="B10" i="5"/>
  <c r="F22" i="5"/>
  <c r="C22" i="5" s="1"/>
  <c r="B22" i="5"/>
  <c r="F7" i="5"/>
  <c r="C7" i="5" s="1"/>
  <c r="B7" i="5"/>
  <c r="Q30" i="2"/>
  <c r="O30" i="2"/>
  <c r="J15" i="2"/>
  <c r="K15" i="2"/>
  <c r="E19" i="5"/>
  <c r="M28" i="2"/>
  <c r="L17" i="5" s="1"/>
  <c r="O24" i="2"/>
  <c r="N24" i="2"/>
  <c r="N47" i="2"/>
  <c r="O47" i="2"/>
  <c r="O35" i="2"/>
  <c r="N35" i="2"/>
  <c r="O37" i="2"/>
  <c r="T37" i="2" s="1"/>
  <c r="S37" i="2" s="1"/>
  <c r="N37" i="2"/>
  <c r="R37" i="2" s="1"/>
  <c r="N19" i="2"/>
  <c r="O19" i="2"/>
  <c r="O43" i="2"/>
  <c r="N43" i="2"/>
  <c r="O44" i="2"/>
  <c r="T44" i="2" s="1"/>
  <c r="S44" i="2" s="1"/>
  <c r="N44" i="2"/>
  <c r="N27" i="2"/>
  <c r="O27" i="2"/>
  <c r="O40" i="2"/>
  <c r="N40" i="2"/>
  <c r="R40" i="2" s="1"/>
  <c r="O32" i="2"/>
  <c r="N32" i="2"/>
  <c r="O39" i="2"/>
  <c r="N39" i="2"/>
  <c r="N20" i="2"/>
  <c r="O20" i="2"/>
  <c r="O31" i="2"/>
  <c r="N31" i="2"/>
  <c r="O36" i="2"/>
  <c r="T36" i="2" s="1"/>
  <c r="S36" i="2" s="1"/>
  <c r="N36" i="2"/>
  <c r="R36" i="2" s="1"/>
  <c r="O28" i="2"/>
  <c r="N28" i="2"/>
  <c r="N23" i="2"/>
  <c r="O23" i="2"/>
  <c r="M32" i="2"/>
  <c r="L21" i="5" s="1"/>
  <c r="M19" i="2"/>
  <c r="L8" i="5" s="1"/>
  <c r="M18" i="2"/>
  <c r="L7" i="5" s="1"/>
  <c r="M47" i="2"/>
  <c r="L36" i="5" s="1"/>
  <c r="M30" i="2"/>
  <c r="L19" i="5" s="1"/>
  <c r="M16" i="2"/>
  <c r="L5" i="5" s="1"/>
  <c r="M15" i="2"/>
  <c r="L4" i="5" s="1"/>
  <c r="M46" i="2"/>
  <c r="L35" i="5" s="1"/>
  <c r="M41" i="2"/>
  <c r="L30" i="5" s="1"/>
  <c r="M40" i="2"/>
  <c r="L29" i="5" s="1"/>
  <c r="M39" i="2"/>
  <c r="L28" i="5" s="1"/>
  <c r="M38" i="2"/>
  <c r="L27" i="5" s="1"/>
  <c r="M37" i="2"/>
  <c r="L26" i="5" s="1"/>
  <c r="M36" i="2"/>
  <c r="L25" i="5" s="1"/>
  <c r="M35" i="2"/>
  <c r="L24" i="5" s="1"/>
  <c r="M27" i="2"/>
  <c r="L16" i="5" s="1"/>
  <c r="M26" i="2"/>
  <c r="L15" i="5" s="1"/>
  <c r="M25" i="2"/>
  <c r="L14" i="5" s="1"/>
  <c r="M24" i="2"/>
  <c r="L13" i="5" s="1"/>
  <c r="M23" i="2"/>
  <c r="L12" i="5" s="1"/>
  <c r="M22" i="2"/>
  <c r="L11" i="5" s="1"/>
  <c r="M14" i="2"/>
  <c r="L3" i="5" s="1"/>
  <c r="M13" i="2"/>
  <c r="L2" i="5" s="1"/>
  <c r="M21" i="2"/>
  <c r="L10" i="5" s="1"/>
  <c r="M31" i="2"/>
  <c r="L20" i="5" s="1"/>
  <c r="M20" i="2"/>
  <c r="L9" i="5" s="1"/>
  <c r="M17" i="2"/>
  <c r="L6" i="5" s="1"/>
  <c r="M43" i="2"/>
  <c r="L32" i="5" s="1"/>
  <c r="M44" i="2"/>
  <c r="L33" i="5" s="1"/>
  <c r="M42" i="2"/>
  <c r="L31" i="5" s="1"/>
  <c r="M29" i="2"/>
  <c r="L18" i="5" s="1"/>
  <c r="M33" i="2"/>
  <c r="L22" i="5" s="1"/>
  <c r="M34" i="2"/>
  <c r="L23" i="5" s="1"/>
  <c r="E9" i="5"/>
  <c r="B9" i="5" s="1"/>
  <c r="Q20" i="2"/>
  <c r="E16" i="5"/>
  <c r="B16" i="5" s="1"/>
  <c r="Q27" i="2"/>
  <c r="E8" i="5"/>
  <c r="B8" i="5" s="1"/>
  <c r="Q19" i="2"/>
  <c r="E26" i="5"/>
  <c r="B26" i="5" s="1"/>
  <c r="Q37" i="2"/>
  <c r="E21" i="5"/>
  <c r="B21" i="5" s="1"/>
  <c r="Q32" i="2"/>
  <c r="E25" i="5"/>
  <c r="B25" i="5" s="1"/>
  <c r="Q36" i="2"/>
  <c r="E20" i="5"/>
  <c r="B20" i="5" s="1"/>
  <c r="Q31" i="2"/>
  <c r="E12" i="5"/>
  <c r="B12" i="5" s="1"/>
  <c r="Q23" i="2"/>
  <c r="E33" i="5"/>
  <c r="B33" i="5" s="1"/>
  <c r="Q44" i="2"/>
  <c r="E17" i="5"/>
  <c r="B17" i="5" s="1"/>
  <c r="Q28" i="2"/>
  <c r="E29" i="5"/>
  <c r="B29" i="5" s="1"/>
  <c r="Q40" i="2"/>
  <c r="E13" i="5"/>
  <c r="B13" i="5" s="1"/>
  <c r="Q24" i="2"/>
  <c r="E36" i="5"/>
  <c r="B36" i="5" s="1"/>
  <c r="Q47" i="2"/>
  <c r="E32" i="5"/>
  <c r="B32" i="5" s="1"/>
  <c r="Q43" i="2"/>
  <c r="E28" i="5"/>
  <c r="B28" i="5" s="1"/>
  <c r="Q39" i="2"/>
  <c r="E24" i="5"/>
  <c r="B24" i="5" s="1"/>
  <c r="Q35" i="2"/>
  <c r="J14" i="2"/>
  <c r="K14" i="2" s="1"/>
  <c r="R34" i="2"/>
  <c r="M23" i="5" s="1"/>
  <c r="T33" i="2"/>
  <c r="S33" i="2" s="1"/>
  <c r="R33" i="2"/>
  <c r="M22" i="5" s="1"/>
  <c r="R30" i="2"/>
  <c r="M19" i="5" s="1"/>
  <c r="T29" i="2"/>
  <c r="S29" i="2" s="1"/>
  <c r="R26" i="2"/>
  <c r="M15" i="5" s="1"/>
  <c r="T25" i="2"/>
  <c r="S25" i="2" s="1"/>
  <c r="R22" i="2"/>
  <c r="M11" i="5" s="1"/>
  <c r="T21" i="2"/>
  <c r="S21" i="2" s="1"/>
  <c r="R21" i="2"/>
  <c r="M10" i="5" s="1"/>
  <c r="R18" i="2"/>
  <c r="M7" i="5" s="1"/>
  <c r="I16" i="2"/>
  <c r="K16" i="2" s="1"/>
  <c r="F19" i="5" l="1"/>
  <c r="C19" i="5" s="1"/>
  <c r="B19" i="5"/>
  <c r="O15" i="2"/>
  <c r="T15" i="2" s="1"/>
  <c r="S15" i="2" s="1"/>
  <c r="N15" i="2"/>
  <c r="R15" i="2" s="1"/>
  <c r="M25" i="5"/>
  <c r="M26" i="5"/>
  <c r="O14" i="2"/>
  <c r="T14" i="2" s="1"/>
  <c r="N14" i="2"/>
  <c r="R14" i="2" s="1"/>
  <c r="M48" i="2"/>
  <c r="F24" i="5"/>
  <c r="C24" i="5" s="1"/>
  <c r="F32" i="5"/>
  <c r="C32" i="5" s="1"/>
  <c r="F13" i="5"/>
  <c r="C13" i="5" s="1"/>
  <c r="F17" i="5"/>
  <c r="C17" i="5" s="1"/>
  <c r="F12" i="5"/>
  <c r="C12" i="5" s="1"/>
  <c r="F25" i="5"/>
  <c r="C25" i="5" s="1"/>
  <c r="F26" i="5"/>
  <c r="C26" i="5" s="1"/>
  <c r="F16" i="5"/>
  <c r="C16" i="5" s="1"/>
  <c r="F28" i="5"/>
  <c r="C28" i="5" s="1"/>
  <c r="F36" i="5"/>
  <c r="C36" i="5" s="1"/>
  <c r="F29" i="5"/>
  <c r="C29" i="5" s="1"/>
  <c r="F33" i="5"/>
  <c r="C33" i="5" s="1"/>
  <c r="F20" i="5"/>
  <c r="C20" i="5" s="1"/>
  <c r="F21" i="5"/>
  <c r="C21" i="5" s="1"/>
  <c r="F8" i="5"/>
  <c r="C8" i="5" s="1"/>
  <c r="F9" i="5"/>
  <c r="C9" i="5" s="1"/>
  <c r="M29" i="5"/>
  <c r="E3" i="5"/>
  <c r="B3" i="5" s="1"/>
  <c r="Q14" i="2"/>
  <c r="E4" i="5"/>
  <c r="B4" i="5" s="1"/>
  <c r="Q15" i="2"/>
  <c r="J16" i="2"/>
  <c r="I13" i="2"/>
  <c r="T17" i="2"/>
  <c r="S17" i="2" s="1"/>
  <c r="T30" i="2"/>
  <c r="S30" i="2" s="1"/>
  <c r="T22" i="2"/>
  <c r="S22" i="2" s="1"/>
  <c r="R29" i="2"/>
  <c r="M18" i="5" s="1"/>
  <c r="R25" i="2"/>
  <c r="M14" i="5" s="1"/>
  <c r="R28" i="2"/>
  <c r="M17" i="5" s="1"/>
  <c r="T28" i="2"/>
  <c r="S28" i="2" s="1"/>
  <c r="T20" i="2"/>
  <c r="S20" i="2" s="1"/>
  <c r="R20" i="2"/>
  <c r="M9" i="5" s="1"/>
  <c r="T23" i="2"/>
  <c r="S23" i="2" s="1"/>
  <c r="R23" i="2"/>
  <c r="M12" i="5" s="1"/>
  <c r="T24" i="2"/>
  <c r="S24" i="2" s="1"/>
  <c r="R24" i="2"/>
  <c r="M13" i="5" s="1"/>
  <c r="T27" i="2"/>
  <c r="S27" i="2" s="1"/>
  <c r="R27" i="2"/>
  <c r="M16" i="5" s="1"/>
  <c r="R38" i="2"/>
  <c r="M27" i="5" s="1"/>
  <c r="T38" i="2"/>
  <c r="S38" i="2" s="1"/>
  <c r="R46" i="2"/>
  <c r="M35" i="5" s="1"/>
  <c r="T46" i="2"/>
  <c r="S46" i="2" s="1"/>
  <c r="T31" i="2"/>
  <c r="S31" i="2" s="1"/>
  <c r="R31" i="2"/>
  <c r="M20" i="5" s="1"/>
  <c r="R42" i="2"/>
  <c r="M31" i="5" s="1"/>
  <c r="T42" i="2"/>
  <c r="S42" i="2" s="1"/>
  <c r="R32" i="2"/>
  <c r="M21" i="5" s="1"/>
  <c r="T32" i="2"/>
  <c r="S32" i="2" s="1"/>
  <c r="T35" i="2"/>
  <c r="S35" i="2" s="1"/>
  <c r="R35" i="2"/>
  <c r="M24" i="5" s="1"/>
  <c r="T43" i="2"/>
  <c r="S43" i="2" s="1"/>
  <c r="R43" i="2"/>
  <c r="M32" i="5" s="1"/>
  <c r="R45" i="2"/>
  <c r="M34" i="5" s="1"/>
  <c r="T45" i="2"/>
  <c r="S45" i="2" s="1"/>
  <c r="T19" i="2"/>
  <c r="S19" i="2" s="1"/>
  <c r="R19" i="2"/>
  <c r="M8" i="5" s="1"/>
  <c r="T18" i="2"/>
  <c r="S18" i="2" s="1"/>
  <c r="T26" i="2"/>
  <c r="S26" i="2" s="1"/>
  <c r="T34" i="2"/>
  <c r="S34" i="2" s="1"/>
  <c r="T39" i="2"/>
  <c r="S39" i="2" s="1"/>
  <c r="R39" i="2"/>
  <c r="M28" i="5" s="1"/>
  <c r="T41" i="2"/>
  <c r="S41" i="2" s="1"/>
  <c r="R41" i="2"/>
  <c r="M30" i="5" s="1"/>
  <c r="T47" i="2"/>
  <c r="S47" i="2" s="1"/>
  <c r="R47" i="2"/>
  <c r="M36" i="5" s="1"/>
  <c r="R44" i="2"/>
  <c r="M33" i="5" s="1"/>
  <c r="T40" i="2"/>
  <c r="S40" i="2" s="1"/>
  <c r="M3" i="5" l="1"/>
  <c r="N16" i="2"/>
  <c r="R16" i="2" s="1"/>
  <c r="O16" i="2"/>
  <c r="T16" i="2" s="1"/>
  <c r="S16" i="2" s="1"/>
  <c r="F3" i="5"/>
  <c r="C3" i="5" s="1"/>
  <c r="F4" i="5"/>
  <c r="C4" i="5" s="1"/>
  <c r="M4" i="5"/>
  <c r="E5" i="5"/>
  <c r="B5" i="5" s="1"/>
  <c r="Q16" i="2"/>
  <c r="J13" i="2"/>
  <c r="K13" i="2" s="1"/>
  <c r="R17" i="2"/>
  <c r="M6" i="5" s="1"/>
  <c r="U3" i="5" l="1"/>
  <c r="M5" i="5"/>
  <c r="Q13" i="2"/>
  <c r="Q48" i="2" s="1"/>
  <c r="N13" i="2"/>
  <c r="R13" i="2" s="1"/>
  <c r="O13" i="2"/>
  <c r="T13" i="2" s="1"/>
  <c r="T48" i="2" s="1"/>
  <c r="N30" i="5" s="1" a="1"/>
  <c r="N30" i="5" s="1"/>
  <c r="U6" i="5"/>
  <c r="U4" i="5"/>
  <c r="F5" i="5"/>
  <c r="C5" i="5" s="1"/>
  <c r="E2" i="5"/>
  <c r="B2" i="5" s="1"/>
  <c r="N36" i="5" l="1" a="1"/>
  <c r="N36" i="5" s="1"/>
  <c r="N17" i="5" a="1"/>
  <c r="N17" i="5" s="1"/>
  <c r="N6" i="5" a="1"/>
  <c r="N6" i="5" s="1"/>
  <c r="D17" i="3" a="1"/>
  <c r="D17" i="3" s="1"/>
  <c r="N19" i="5" a="1"/>
  <c r="N19" i="5" s="1"/>
  <c r="N3" i="5" a="1"/>
  <c r="N3" i="5" s="1"/>
  <c r="N33" i="5" a="1"/>
  <c r="N33" i="5" s="1"/>
  <c r="N9" i="5" a="1"/>
  <c r="N9" i="5" s="1"/>
  <c r="N22" i="5" a="1"/>
  <c r="N22" i="5" s="1"/>
  <c r="N25" i="5" a="1"/>
  <c r="N25" i="5" s="1"/>
  <c r="N21" i="5" a="1"/>
  <c r="N21" i="5" s="1"/>
  <c r="N24" i="5" a="1"/>
  <c r="N24" i="5" s="1"/>
  <c r="N12" i="5" a="1"/>
  <c r="N12" i="5" s="1"/>
  <c r="N14" i="5" a="1"/>
  <c r="N14" i="5" s="1"/>
  <c r="V3" i="5"/>
  <c r="R48" i="2"/>
  <c r="N5" i="5" a="1"/>
  <c r="N5" i="5" s="1"/>
  <c r="N20" i="5" a="1"/>
  <c r="N20" i="5" s="1"/>
  <c r="N2" i="5" a="1"/>
  <c r="N2" i="5" s="1"/>
  <c r="N23" i="5" a="1"/>
  <c r="N23" i="5" s="1"/>
  <c r="N7" i="5" a="1"/>
  <c r="N7" i="5" s="1"/>
  <c r="N4" i="5" a="1"/>
  <c r="N4" i="5" s="1"/>
  <c r="N10" i="5" a="1"/>
  <c r="N10" i="5" s="1"/>
  <c r="N26" i="5" a="1"/>
  <c r="N26" i="5" s="1"/>
  <c r="N29" i="5" a="1"/>
  <c r="N29" i="5" s="1"/>
  <c r="N28" i="5" a="1"/>
  <c r="N28" i="5" s="1"/>
  <c r="N13" i="5" a="1"/>
  <c r="N13" i="5" s="1"/>
  <c r="S48" i="2" a="1"/>
  <c r="S48" i="2" s="1"/>
  <c r="N8" i="5" a="1"/>
  <c r="N8" i="5" s="1"/>
  <c r="N32" i="5" a="1"/>
  <c r="N32" i="5" s="1"/>
  <c r="N15" i="5" a="1"/>
  <c r="N15" i="5" s="1"/>
  <c r="N27" i="5" a="1"/>
  <c r="N27" i="5" s="1"/>
  <c r="N31" i="5" a="1"/>
  <c r="N31" i="5" s="1"/>
  <c r="N16" i="5" a="1"/>
  <c r="N16" i="5" s="1"/>
  <c r="N34" i="5" a="1"/>
  <c r="N34" i="5" s="1"/>
  <c r="N11" i="5" a="1"/>
  <c r="N11" i="5" s="1"/>
  <c r="N35" i="5" a="1"/>
  <c r="N35" i="5" s="1"/>
  <c r="N18" i="5" a="1"/>
  <c r="N18" i="5" s="1"/>
  <c r="V6" i="5"/>
  <c r="V4" i="5"/>
  <c r="V32" i="5"/>
  <c r="U32" i="5"/>
  <c r="V36" i="5"/>
  <c r="U36" i="5"/>
  <c r="V24" i="5"/>
  <c r="U24" i="5"/>
  <c r="V28" i="5"/>
  <c r="U28" i="5"/>
  <c r="U11" i="5"/>
  <c r="V11" i="5"/>
  <c r="V35" i="5"/>
  <c r="U35" i="5"/>
  <c r="U14" i="5"/>
  <c r="V14" i="5"/>
  <c r="U16" i="5"/>
  <c r="V16" i="5"/>
  <c r="V9" i="5"/>
  <c r="U9" i="5"/>
  <c r="U26" i="5"/>
  <c r="V26" i="5"/>
  <c r="V8" i="5"/>
  <c r="U8" i="5"/>
  <c r="V31" i="5"/>
  <c r="U31" i="5"/>
  <c r="U19" i="5"/>
  <c r="V19" i="5"/>
  <c r="U18" i="5"/>
  <c r="V18" i="5"/>
  <c r="F2" i="5"/>
  <c r="C2" i="5" s="1"/>
  <c r="U25" i="5"/>
  <c r="V25" i="5"/>
  <c r="V21" i="5"/>
  <c r="U21" i="5"/>
  <c r="U12" i="5"/>
  <c r="V12" i="5"/>
  <c r="U20" i="5"/>
  <c r="V20" i="5"/>
  <c r="U15" i="5"/>
  <c r="V15" i="5"/>
  <c r="U23" i="5"/>
  <c r="V23" i="5"/>
  <c r="U34" i="5"/>
  <c r="V34" i="5"/>
  <c r="U22" i="5"/>
  <c r="V22" i="5"/>
  <c r="U17" i="5"/>
  <c r="V17" i="5"/>
  <c r="U33" i="5"/>
  <c r="V33" i="5"/>
  <c r="U13" i="5"/>
  <c r="V13" i="5"/>
  <c r="V29" i="5"/>
  <c r="U29" i="5"/>
  <c r="V27" i="5"/>
  <c r="U27" i="5"/>
  <c r="U7" i="5"/>
  <c r="V7" i="5"/>
  <c r="V10" i="5"/>
  <c r="U10" i="5"/>
  <c r="U30" i="5"/>
  <c r="V30" i="5"/>
  <c r="U5" i="5"/>
  <c r="V5" i="5"/>
  <c r="M2" i="5"/>
  <c r="S14" i="2" l="1"/>
  <c r="W6" i="2"/>
  <c r="D12" i="3"/>
  <c r="J23" i="3" s="1" a="1"/>
  <c r="J23" i="3" s="1"/>
  <c r="W7" i="2"/>
  <c r="D22" i="3"/>
  <c r="G29" i="3" s="1"/>
  <c r="S13" i="2"/>
  <c r="U2" i="5"/>
  <c r="V2" i="5"/>
  <c r="G31" i="3" l="1"/>
  <c r="G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R. Todd Wood</author>
  </authors>
  <commentList>
    <comment ref="I6" authorId="0" shapeId="0" xr:uid="{8282D488-D6ED-4020-975C-5ADB9F9FDF17}">
      <text>
        <r>
          <rPr>
            <b/>
            <sz val="9"/>
            <color indexed="81"/>
            <rFont val="Tahoma"/>
            <family val="2"/>
          </rPr>
          <t>R. Todd Wood:</t>
        </r>
        <r>
          <rPr>
            <sz val="9"/>
            <color indexed="81"/>
            <rFont val="Tahoma"/>
            <family val="2"/>
          </rPr>
          <t xml:space="preserve">
Small-Medium Business Express Program Eligible is only available with select approved Wattsmart Business Trade Allies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tc={670A7BF7-C39E-4817-9659-81BA79C67FAA}</author>
  </authors>
  <commentList>
    <comment ref="L1" authorId="0" shapeId="0" xr:uid="{670A7BF7-C39E-4817-9659-81BA79C67FAA}">
      <text>
        <t>[Threaded comment]
Your version of Excel allows you to read this threaded comment; however, any edits to it will get removed if the file is opened in a newer version of Excel. Learn more: https://go.microsoft.com/fwlink/?linkid=870924
Comment:
    7/10/25- Per Rates For Software 2-6-2025.xlsx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cellMetadata count="1">
    <bk>
      <rc t="1" v="0"/>
    </bk>
  </cellMetadata>
  <valueMetadata count="3">
    <bk>
      <rc t="2" v="0"/>
    </bk>
    <bk>
      <rc t="2" v="1"/>
    </bk>
    <bk>
      <rc t="2" v="2"/>
    </bk>
  </valueMetadata>
</metadata>
</file>

<file path=xl/sharedStrings.xml><?xml version="1.0" encoding="utf-8"?>
<sst xmlns="http://schemas.openxmlformats.org/spreadsheetml/2006/main" count="2418" uniqueCount="1010">
  <si>
    <t>LED without Controls</t>
  </si>
  <si>
    <t>LED NLC</t>
  </si>
  <si>
    <t>LED LLLC</t>
  </si>
  <si>
    <t>Express</t>
  </si>
  <si>
    <t>SMBE</t>
  </si>
  <si>
    <t>Retail 5,000 to 50,000 sf</t>
  </si>
  <si>
    <t>No Controls</t>
  </si>
  <si>
    <t>Assembly</t>
  </si>
  <si>
    <t>Plug and Play</t>
  </si>
  <si>
    <t>Automotive Repair</t>
  </si>
  <si>
    <t>Networked</t>
  </si>
  <si>
    <t>Lodging</t>
  </si>
  <si>
    <t>LLLC</t>
  </si>
  <si>
    <t>Other Health, Nursing, Medical Clinic</t>
  </si>
  <si>
    <t>Retail Mini Mart</t>
  </si>
  <si>
    <t>CSF</t>
  </si>
  <si>
    <t>Library</t>
  </si>
  <si>
    <t>Retail Boutique &lt;5,000 sf</t>
  </si>
  <si>
    <t>Office &lt;20,000 sf</t>
  </si>
  <si>
    <t>School K-12</t>
  </si>
  <si>
    <t>Manufacturing</t>
  </si>
  <si>
    <t>Other</t>
  </si>
  <si>
    <t>Wattage Band</t>
  </si>
  <si>
    <t>Max</t>
  </si>
  <si>
    <t>Restaurant</t>
  </si>
  <si>
    <t>Retail</t>
  </si>
  <si>
    <t>Warehouse</t>
  </si>
  <si>
    <t>Retail Supermarket</t>
  </si>
  <si>
    <t>Industrial Plant with Two Shifts</t>
  </si>
  <si>
    <t>Retail Big Box &gt;50,000 sf One-Story</t>
  </si>
  <si>
    <t>Office &gt;100,000 sf</t>
  </si>
  <si>
    <t>Office 20,000 to 100,000 sf</t>
  </si>
  <si>
    <t>College or University</t>
  </si>
  <si>
    <t>Business Type</t>
  </si>
  <si>
    <t>Fixture Classification</t>
  </si>
  <si>
    <t>Fixture Wattage</t>
  </si>
  <si>
    <t>Savings Multiplier</t>
  </si>
  <si>
    <t>Incentive Multiplier</t>
  </si>
  <si>
    <t>Exterior Wattage Band</t>
  </si>
  <si>
    <t>SMBE Eligible</t>
  </si>
  <si>
    <t>Quantity</t>
  </si>
  <si>
    <t>Table Measure Type</t>
  </si>
  <si>
    <t>Totals</t>
  </si>
  <si>
    <t>Exterior LED</t>
  </si>
  <si>
    <t>Item</t>
  </si>
  <si>
    <t>wattsmart.com</t>
  </si>
  <si>
    <t>Customer/Site Information</t>
  </si>
  <si>
    <t>Project Information</t>
  </si>
  <si>
    <t>Lighting Assessment Summary</t>
  </si>
  <si>
    <r>
      <t>Electric Cost Savings</t>
    </r>
    <r>
      <rPr>
        <b/>
        <vertAlign val="superscript"/>
        <sz val="10"/>
        <color theme="0" tint="-0.499984740745262"/>
        <rFont val="Arial"/>
        <family val="2"/>
      </rPr>
      <t>a</t>
    </r>
  </si>
  <si>
    <r>
      <t>Total Project Incentives</t>
    </r>
    <r>
      <rPr>
        <b/>
        <vertAlign val="superscript"/>
        <sz val="10"/>
        <color theme="0" tint="-0.499984740745262"/>
        <rFont val="Arial"/>
        <family val="2"/>
      </rPr>
      <t>a</t>
    </r>
  </si>
  <si>
    <r>
      <t>Energy Savings</t>
    </r>
    <r>
      <rPr>
        <b/>
        <vertAlign val="superscript"/>
        <sz val="10"/>
        <color theme="0" tint="-0.499984740745262"/>
        <rFont val="Arial"/>
        <family val="2"/>
      </rPr>
      <t>a, b</t>
    </r>
  </si>
  <si>
    <t>kWh/year
Energy Savings</t>
  </si>
  <si>
    <t>with incentives</t>
  </si>
  <si>
    <t xml:space="preserve"> Carbon Footprint Calculator</t>
  </si>
  <si>
    <t xml:space="preserve">   Cars on the Road</t>
  </si>
  <si>
    <t xml:space="preserve">   Energy Used by Homes</t>
  </si>
  <si>
    <t xml:space="preserve">   Acres of Pine Trees Saved</t>
  </si>
  <si>
    <t>1.</t>
  </si>
  <si>
    <t>2.</t>
  </si>
  <si>
    <t>3.</t>
  </si>
  <si>
    <t>4.</t>
  </si>
  <si>
    <t>Express LT</t>
  </si>
  <si>
    <t>Business Name</t>
  </si>
  <si>
    <t>Contact Name</t>
  </si>
  <si>
    <t>Contact Email</t>
  </si>
  <si>
    <t>Simple Payback</t>
  </si>
  <si>
    <t/>
  </si>
  <si>
    <t xml:space="preserve">a. Energy savings, electric cost savings, and total project incentives are estimates only and intended solely for Wattsmart Business lighting projects. </t>
  </si>
  <si>
    <t xml:space="preserve">Savings may be adjusted for heating/cooling factors based on region and space type. Incentives paid are based upon approved as-installed equipment, </t>
  </si>
  <si>
    <t xml:space="preserve">operating conditions, and project costs. </t>
  </si>
  <si>
    <t>Material Costs</t>
  </si>
  <si>
    <t>Labor Costs</t>
  </si>
  <si>
    <t>Other Costs</t>
  </si>
  <si>
    <t>Notes</t>
  </si>
  <si>
    <t>Measure Incentive with Cap Applied</t>
  </si>
  <si>
    <t>Hospital</t>
  </si>
  <si>
    <t>Total Costs</t>
  </si>
  <si>
    <t>SMBE - Business Type (Hospital is not included)</t>
  </si>
  <si>
    <t>Measure Incentive (uncapped)</t>
  </si>
  <si>
    <t>Rate Schedule</t>
  </si>
  <si>
    <t>Fixture Types</t>
  </si>
  <si>
    <t>Rate Schedules</t>
  </si>
  <si>
    <t>kWh Rate</t>
  </si>
  <si>
    <t>kW Charge</t>
  </si>
  <si>
    <t>Selected kWh Rate</t>
  </si>
  <si>
    <t>Per Year Based on Averaged Savings
 and Building Type</t>
  </si>
  <si>
    <t>Exterior Lighting Express - LED 3W to 47W - Retrofit - SBE - UT</t>
  </si>
  <si>
    <t>Exterior Lighting Express - LED 3W to 47W - Retrofit - UT</t>
  </si>
  <si>
    <t>Exterior Lighting Express - LED 48W to 95W - Retrofit - SBE - UT</t>
  </si>
  <si>
    <t>Exterior Lighting Express - LED 48W to 95W - Retrofit - UT</t>
  </si>
  <si>
    <t>Exterior Lighting Express - LED 96 to 285W - Retrofit - SBE - UT</t>
  </si>
  <si>
    <t>Exterior Lighting Express - LED 96 to 285W - Retrofit - UT</t>
  </si>
  <si>
    <t>Interior Lighting Express - Control Ready - Assembly - Retrofit - SBE - UT</t>
  </si>
  <si>
    <t>Interior Lighting Express - Control Ready - Assembly - Retrofit - UT</t>
  </si>
  <si>
    <t>Interior Lighting Express - Control Ready - Automotive Repair - Retrofit - SBE - UT</t>
  </si>
  <si>
    <t>Interior Lighting Express - Control Ready - Automotive Repair - Retrofit - UT</t>
  </si>
  <si>
    <t>Interior Lighting Express - Control Ready - College or University - Retrofit - SBE - UT</t>
  </si>
  <si>
    <t>Interior Lighting Express - Control Ready - College or University - Retrofit - UT</t>
  </si>
  <si>
    <t>Interior Lighting Express - Control Ready - Hospital - Retrofit - UT</t>
  </si>
  <si>
    <t>Interior Lighting Express - Control Ready - Industrial Plant with Two Shifts - Retrofit - SBE - UT</t>
  </si>
  <si>
    <t>Interior Lighting Express - Control Ready - Industrial Plant with Two Shifts - Retrofit - UT</t>
  </si>
  <si>
    <t>Interior Lighting Express - Control Ready - Library - Retrofit - SBE - UT</t>
  </si>
  <si>
    <t>Interior Lighting Express - Control Ready - Library - Retrofit - UT</t>
  </si>
  <si>
    <t>Interior Lighting Express - Control Ready - Lodging - Retrofit - SBE - UT</t>
  </si>
  <si>
    <t>Interior Lighting Express - Control Ready - Lodging - Retrofit - UT</t>
  </si>
  <si>
    <t>Interior Lighting Express - Control Ready - Manufacturing - Retrofit - SBE - UT</t>
  </si>
  <si>
    <t>Interior Lighting Express - Control Ready - Manufacturing - Retrofit - UT</t>
  </si>
  <si>
    <t>Interior Lighting Express - Control Ready - Office &lt;20,000 sf - Retrofit - SBE - UT</t>
  </si>
  <si>
    <t>Interior Lighting Express - Control Ready - Office &lt;20,000 sf - Retrofit - UT</t>
  </si>
  <si>
    <t>Interior Lighting Express - Control Ready - Office &gt;100,000 sf - Retrofit - SBE - UT</t>
  </si>
  <si>
    <t>Interior Lighting Express - Control Ready - Office &gt;100,000 sf - Retrofit - UT</t>
  </si>
  <si>
    <t>Interior Lighting Express - Control Ready - Office 20,000 to 100,000 sf - Retrofit - SBE - UT</t>
  </si>
  <si>
    <t>Interior Lighting Express - Control Ready - Office 20,000 to 100,000 sf - Retrofit - UT</t>
  </si>
  <si>
    <t>Interior Lighting Express - Control Ready - Other - Retrofit - SBE - UT</t>
  </si>
  <si>
    <t>Interior Lighting Express - Control Ready - Other - Retrofit - UT</t>
  </si>
  <si>
    <t>Interior Lighting Express - Control Ready - Other Health, Nursing, Medical Clinic - Retrofit - SBE - UT</t>
  </si>
  <si>
    <t>Interior Lighting Express - Control Ready - Other Health, Nursing, Medical Clinic - Retrofit - UT</t>
  </si>
  <si>
    <t>Interior Lighting Express - Control Ready - Restaurant - Retrofit - SBE - UT</t>
  </si>
  <si>
    <t>Interior Lighting Express - Control Ready - Restaurant - Retrofit - UT</t>
  </si>
  <si>
    <t>Interior Lighting Express - Control Ready - Retail - Retrofit - SBE - UT</t>
  </si>
  <si>
    <t>Interior Lighting Express - Control Ready - Retail - Retrofit - UT</t>
  </si>
  <si>
    <t>Interior Lighting Express - Control Ready - Retail 5,000 to 50,000 sf - Retrofit - SBE - UT</t>
  </si>
  <si>
    <t>Interior Lighting Express - Control Ready - Retail 5,000 to 50,000 sf - Retrofit - UT</t>
  </si>
  <si>
    <t>Interior Lighting Express - Control Ready - Retail Big Box &gt;50,000 sf One-Story - Retrofit - SBE - UT</t>
  </si>
  <si>
    <t>Interior Lighting Express - Control Ready - Retail Big Box &gt;50,000 sf One-Story - Retrofit - UT</t>
  </si>
  <si>
    <t>Interior Lighting Express - Control Ready - Retail Boutique &lt;5,000 sf - Retrofit - SBE - UT</t>
  </si>
  <si>
    <t>Interior Lighting Express - Control Ready - Retail Boutique &lt;5,000 sf - Retrofit - UT</t>
  </si>
  <si>
    <t>Interior Lighting Express - Control Ready - Retail Mini Mart - Retrofit - SBE - UT</t>
  </si>
  <si>
    <t>Interior Lighting Express - Control Ready - Retail Mini Mart - Retrofit - UT</t>
  </si>
  <si>
    <t>Interior Lighting Express - Control Ready - Retail Supermarket - Retrofit - SBE - UT</t>
  </si>
  <si>
    <t>Interior Lighting Express - Control Ready - Retail Supermarket - Retrofit - UT</t>
  </si>
  <si>
    <t>Interior Lighting Express - Control Ready - School K-12 - Retrofit - SBE - UT</t>
  </si>
  <si>
    <t>Interior Lighting Express - Control Ready - School K-12 - Retrofit - UT</t>
  </si>
  <si>
    <t>Interior Lighting Express - Control Ready - Warehouse - Retrofit - SBE - UT</t>
  </si>
  <si>
    <t>Interior Lighting Express - Control Ready - Warehouse - Retrofit - UT</t>
  </si>
  <si>
    <t>Interior Lighting Express - LED w/LLLC - Assembly - Retrofit - SBE - UT</t>
  </si>
  <si>
    <t>Interior Lighting Express - LED w/LLLC - Assembly - Retrofit - UT</t>
  </si>
  <si>
    <t>Interior Lighting Express - LED w/LLLC - Automotive Repair - Retrofit - SBE - UT</t>
  </si>
  <si>
    <t>Interior Lighting Express - LED w/LLLC - Automotive Repair - Retrofit - UT</t>
  </si>
  <si>
    <t>Interior Lighting Express - LED w/LLLC - College or University - Retrofit - SBE - UT</t>
  </si>
  <si>
    <t>Interior Lighting Express - LED w/LLLC - College or University - Retrofit - UT</t>
  </si>
  <si>
    <t>Interior Lighting Express - LED w/LLLC - Hospital - Retrofit - UT</t>
  </si>
  <si>
    <t>Interior Lighting Express - LED w/LLLC - Industrial Plant with Two Shifts - Retrofit - SBE - UT</t>
  </si>
  <si>
    <t>Interior Lighting Express - LED w/LLLC - Industrial Plant with Two Shifts - Retrofit - UT</t>
  </si>
  <si>
    <t>Interior Lighting Express - LED w/LLLC - Library - Retrofit - SBE - UT</t>
  </si>
  <si>
    <t>Interior Lighting Express - LED w/LLLC - Library - Retrofit - UT</t>
  </si>
  <si>
    <t>Interior Lighting Express - LED w/LLLC - Lodging - Retrofit - SBE - UT</t>
  </si>
  <si>
    <t>Interior Lighting Express - LED w/LLLC - Lodging - Retrofit - UT</t>
  </si>
  <si>
    <t>Interior Lighting Express - LED w/LLLC - Manufacturing - Retrofit - SBE - UT</t>
  </si>
  <si>
    <t>Interior Lighting Express - LED w/LLLC - Manufacturing - Retrofit - UT</t>
  </si>
  <si>
    <t>Interior Lighting Express - LED w/LLLC - Office &lt;20,000 sf - Retrofit - SBE - UT</t>
  </si>
  <si>
    <t>Interior Lighting Express - LED w/LLLC - Office &lt;20,000 sf - Retrofit - UT</t>
  </si>
  <si>
    <t>Interior Lighting Express - LED w/LLLC - Office &gt;100,000 sf - Retrofit - SBE - UT</t>
  </si>
  <si>
    <t>Interior Lighting Express - LED w/LLLC - Office &gt;100,000 sf - Retrofit - UT</t>
  </si>
  <si>
    <t>Interior Lighting Express - LED w/LLLC - Office 20,000 to 100,000 sf - Retrofit - SBE - UT</t>
  </si>
  <si>
    <t>Interior Lighting Express - LED w/LLLC - Office 20,000 to 100,000 sf - Retrofit - UT</t>
  </si>
  <si>
    <t>Interior Lighting Express - LED w/LLLC - Other - Retrofit - SBE - UT</t>
  </si>
  <si>
    <t>Interior Lighting Express - LED w/LLLC - Other - Retrofit - UT</t>
  </si>
  <si>
    <t>Interior Lighting Express - LED w/LLLC - Other Health, Nursing, Medical Clinic - Retrofit - SBE - UT</t>
  </si>
  <si>
    <t>Interior Lighting Express - LED w/LLLC - Other Health, Nursing, Medical Clinic - Retrofit - UT</t>
  </si>
  <si>
    <t>Interior Lighting Express - LED w/LLLC - Restaurant - Retrofit - SBE - UT</t>
  </si>
  <si>
    <t>Interior Lighting Express - LED w/LLLC - Restaurant - Retrofit - UT</t>
  </si>
  <si>
    <t>Interior Lighting Express - LED w/LLLC - Retail - Retrofit - SBE - UT</t>
  </si>
  <si>
    <t>Interior Lighting Express - LED w/LLLC - Retail - Retrofit - UT</t>
  </si>
  <si>
    <t>Interior Lighting Express - LED w/LLLC - Retail 5,000 to 50,000 sf - Retrofit - SBE - UT</t>
  </si>
  <si>
    <t>Interior Lighting Express - LED w/LLLC - Retail 5,000 to 50,000 sf - Retrofit - UT</t>
  </si>
  <si>
    <t>Interior Lighting Express - LED w/LLLC - Retail Big Box &gt;50,000 sf One-Story - Retrofit - SBE - UT</t>
  </si>
  <si>
    <t>Interior Lighting Express - LED w/LLLC - Retail Big Box &gt;50,000 sf One-Story - Retrofit - UT</t>
  </si>
  <si>
    <t>Interior Lighting Express - LED w/LLLC - Retail Boutique &lt;5,000 sf - Retrofit - SBE - UT</t>
  </si>
  <si>
    <t>Interior Lighting Express - LED w/LLLC - Retail Boutique &lt;5,000 sf - Retrofit - UT</t>
  </si>
  <si>
    <t>Interior Lighting Express - LED w/LLLC - Retail Mini Mart - Retrofit - SBE - UT</t>
  </si>
  <si>
    <t>Interior Lighting Express - LED w/LLLC - Retail Mini Mart - Retrofit - UT</t>
  </si>
  <si>
    <t>Interior Lighting Express - LED w/LLLC - Retail Supermarket - Retrofit - SBE - UT</t>
  </si>
  <si>
    <t>Interior Lighting Express - LED w/LLLC - Retail Supermarket - Retrofit - UT</t>
  </si>
  <si>
    <t>Interior Lighting Express - LED w/LLLC - School K-12 - Retrofit - SBE - UT</t>
  </si>
  <si>
    <t>Interior Lighting Express - LED w/LLLC - School K-12 - Retrofit - UT</t>
  </si>
  <si>
    <t>Interior Lighting Express - LED w/LLLC - Warehouse - Retrofit - SBE - UT</t>
  </si>
  <si>
    <t>Interior Lighting Express - LED w/LLLC - Warehouse - Retrofit - UT</t>
  </si>
  <si>
    <t>Interior Lighting Express - LED w/NLC - Assembly - Retrofit - SBE - UT</t>
  </si>
  <si>
    <t>Interior Lighting Express - LED w/NLC - Assembly - Retrofit - UT</t>
  </si>
  <si>
    <t>Interior Lighting Express - LED w/NLC - Automotive Repair - Retrofit - SBE - UT</t>
  </si>
  <si>
    <t>Interior Lighting Express - LED w/NLC - Automotive Repair - Retrofit - UT</t>
  </si>
  <si>
    <t>Interior Lighting Express - LED w/NLC - College or University - Retrofit - SBE - UT</t>
  </si>
  <si>
    <t>Interior Lighting Express - LED w/NLC - College or University - Retrofit - UT</t>
  </si>
  <si>
    <t>Interior Lighting Express - LED w/NLC - Hospital - Retrofit - UT</t>
  </si>
  <si>
    <t>Interior Lighting Express - LED w/NLC - Industrial Plant with Two Shifts - Retrofit - SBE - UT</t>
  </si>
  <si>
    <t>Interior Lighting Express - LED w/NLC - Industrial Plant with Two Shifts - Retrofit - UT</t>
  </si>
  <si>
    <t>Interior Lighting Express - LED w/NLC - Library - Retrofit - SBE - UT</t>
  </si>
  <si>
    <t>Interior Lighting Express - LED w/NLC - Library - Retrofit - UT</t>
  </si>
  <si>
    <t>Interior Lighting Express - LED w/NLC - Lodging - Retrofit - SBE - UT</t>
  </si>
  <si>
    <t>Interior Lighting Express - LED w/NLC - Lodging - Retrofit - UT</t>
  </si>
  <si>
    <t>Interior Lighting Express - LED w/NLC - Manufacturing - Retrofit - SBE - UT</t>
  </si>
  <si>
    <t>Interior Lighting Express - LED w/NLC - Manufacturing - Retrofit - UT</t>
  </si>
  <si>
    <t>Interior Lighting Express - LED w/NLC - Office &lt;20,000 sf - Retrofit - SBE - UT</t>
  </si>
  <si>
    <t>Interior Lighting Express - LED w/NLC - Office &lt;20,000 sf - Retrofit - UT</t>
  </si>
  <si>
    <t>Interior Lighting Express - LED w/NLC - Office &gt;100,000 sf - Retrofit - SBE - UT</t>
  </si>
  <si>
    <t>Interior Lighting Express - LED w/NLC - Office &gt;100,000 sf - Retrofit - UT</t>
  </si>
  <si>
    <t>Interior Lighting Express - LED w/NLC - Office 20,000 to 100,000 sf - Retrofit - SBE - UT</t>
  </si>
  <si>
    <t>Interior Lighting Express - LED w/NLC - Office 20,000 to 100,000 sf - Retrofit - UT</t>
  </si>
  <si>
    <t>Interior Lighting Express - LED w/NLC - Other - Retrofit - SBE - UT</t>
  </si>
  <si>
    <t>Interior Lighting Express - LED w/NLC - Other - Retrofit - UT</t>
  </si>
  <si>
    <t>Interior Lighting Express - LED w/NLC - Other Health, Nursing, Medical Clinic - Retrofit - SBE - UT</t>
  </si>
  <si>
    <t>Interior Lighting Express - LED w/NLC - Other Health, Nursing, Medical Clinic - Retrofit - UT</t>
  </si>
  <si>
    <t>Interior Lighting Express - LED w/NLC - Restaurant - Retrofit - SBE - UT</t>
  </si>
  <si>
    <t>Interior Lighting Express - LED w/NLC - Restaurant - Retrofit - UT</t>
  </si>
  <si>
    <t>Interior Lighting Express - LED w/NLC - Retail - Retrofit - SBE - UT</t>
  </si>
  <si>
    <t>Interior Lighting Express - LED w/NLC - Retail - Retrofit - UT</t>
  </si>
  <si>
    <t>Interior Lighting Express - LED w/NLC - Retail 5,000 to 50,000 sf - Retrofit - SBE - UT</t>
  </si>
  <si>
    <t>Interior Lighting Express - LED w/NLC - Retail 5,000 to 50,000 sf - Retrofit - UT</t>
  </si>
  <si>
    <t>Interior Lighting Express - LED w/NLC - Retail Big Box &gt;50,000 sf One-Story - Retrofit - SBE - UT</t>
  </si>
  <si>
    <t>Interior Lighting Express - LED w/NLC - Retail Big Box &gt;50,000 sf One-Story - Retrofit - UT</t>
  </si>
  <si>
    <t>Interior Lighting Express - LED w/NLC - Retail Boutique &lt;5,000 sf - Retrofit - SBE - UT</t>
  </si>
  <si>
    <t>Interior Lighting Express - LED w/NLC - Retail Boutique &lt;5,000 sf - Retrofit - UT</t>
  </si>
  <si>
    <t>Interior Lighting Express - LED w/NLC - Retail Mini Mart - Retrofit - SBE - UT</t>
  </si>
  <si>
    <t>Interior Lighting Express - LED w/NLC - Retail Mini Mart - Retrofit - UT</t>
  </si>
  <si>
    <t>Interior Lighting Express - LED w/NLC - Retail Supermarket - Retrofit - SBE - UT</t>
  </si>
  <si>
    <t>Interior Lighting Express - LED w/NLC - Retail Supermarket - Retrofit - UT</t>
  </si>
  <si>
    <t>Interior Lighting Express - LED w/NLC - School K-12 - Retrofit - SBE - UT</t>
  </si>
  <si>
    <t>Interior Lighting Express - LED w/NLC - School K-12 - Retrofit - UT</t>
  </si>
  <si>
    <t>Interior Lighting Express - LED w/NLC - Warehouse - Retrofit - SBE - UT</t>
  </si>
  <si>
    <t>Interior Lighting Express - LED w/NLC - Warehouse - Retrofit - UT</t>
  </si>
  <si>
    <t>Interior Lighting Express - No Control - Assembly - Retrofit - SBE - UT</t>
  </si>
  <si>
    <t>Interior Lighting Express - No Control - Assembly - Retrofit - UT</t>
  </si>
  <si>
    <t>Interior Lighting Express - No Control - Automotive Repair - Retrofit - SBE - UT</t>
  </si>
  <si>
    <t>Interior Lighting Express - No Control - Automotive Repair - Retrofit - UT</t>
  </si>
  <si>
    <t>Interior Lighting Express - No Control - College or University - Retrofit - SBE - UT</t>
  </si>
  <si>
    <t>Interior Lighting Express - No Control - College or University - Retrofit - UT</t>
  </si>
  <si>
    <t>Interior Lighting Express - No Control - Hospital - Retrofit - UT</t>
  </si>
  <si>
    <t>Interior Lighting Express - No Control - Industrial Plant with Two Shifts - Retrofit - SBE - UT</t>
  </si>
  <si>
    <t>Interior Lighting Express - No Control - Industrial Plant with Two Shifts - Retrofit - UT</t>
  </si>
  <si>
    <t>Interior Lighting Express - No Control - Library - Retrofit - SBE - UT</t>
  </si>
  <si>
    <t>Interior Lighting Express - No Control - Library - Retrofit - UT</t>
  </si>
  <si>
    <t>Interior Lighting Express - No Control - Lodging - Retrofit - SBE - UT</t>
  </si>
  <si>
    <t>Interior Lighting Express - No Control - Lodging - Retrofit - UT</t>
  </si>
  <si>
    <t>Interior Lighting Express - No Control - Manufacturing - Retrofit - SBE - UT</t>
  </si>
  <si>
    <t>Interior Lighting Express - No Control - Manufacturing - Retrofit - UT</t>
  </si>
  <si>
    <t>Interior Lighting Express - No Control - Office &lt;20,000 sf - Retrofit - SBE - UT</t>
  </si>
  <si>
    <t>Interior Lighting Express - No Control - Office &lt;20,000 sf - Retrofit - UT</t>
  </si>
  <si>
    <t>Interior Lighting Express - No Control - Office &gt;100,000 sf - Retrofit - SBE - UT</t>
  </si>
  <si>
    <t>Interior Lighting Express - No Control - Office &gt;100,000 sf - Retrofit - UT</t>
  </si>
  <si>
    <t>Interior Lighting Express - No Control - Office 20,000 to 100,000 sf - Retrofit - SBE - UT</t>
  </si>
  <si>
    <t>Interior Lighting Express - No Control - Office 20,000 to 100,000 sf - Retrofit - UT</t>
  </si>
  <si>
    <t>Interior Lighting Express - No Control - Other - Retrofit - SBE - UT</t>
  </si>
  <si>
    <t>Interior Lighting Express - No Control - Other - Retrofit - UT</t>
  </si>
  <si>
    <t>Interior Lighting Express - No Control - Other Health, Nursing, Medical Clinic - Retrofit - SBE - UT</t>
  </si>
  <si>
    <t>Interior Lighting Express - No Control - Other Health, Nursing, Medical Clinic - Retrofit - UT</t>
  </si>
  <si>
    <t>Interior Lighting Express - No Control - Restaurant - Retrofit - SBE - UT</t>
  </si>
  <si>
    <t>Interior Lighting Express - No Control - Restaurant - Retrofit - UT</t>
  </si>
  <si>
    <t>Interior Lighting Express - No Control - Retail - Retrofit - SBE - UT</t>
  </si>
  <si>
    <t>Interior Lighting Express - No Control - Retail - Retrofit - UT</t>
  </si>
  <si>
    <t>Interior Lighting Express - No Control - Retail 5,000 to 50,000 sf - Retrofit - SBE - UT</t>
  </si>
  <si>
    <t>Interior Lighting Express - No Control - Retail 5,000 to 50,000 sf - Retrofit - UT</t>
  </si>
  <si>
    <t>Interior Lighting Express - No Control - Retail Big Box &gt;50,000 sf One-Story - Retrofit - SBE - UT</t>
  </si>
  <si>
    <t>Interior Lighting Express - No Control - Retail Big Box &gt;50,000 sf One-Story - Retrofit - UT</t>
  </si>
  <si>
    <t>Interior Lighting Express - No Control - Retail Boutique &lt;5,000 sf - Retrofit - SBE - UT</t>
  </si>
  <si>
    <t>Interior Lighting Express - No Control - Retail Boutique &lt;5,000 sf - Retrofit - UT</t>
  </si>
  <si>
    <t>Interior Lighting Express - No Control - Retail Mini Mart - Retrofit - SBE - UT</t>
  </si>
  <si>
    <t>Interior Lighting Express - No Control - Retail Mini Mart - Retrofit - UT</t>
  </si>
  <si>
    <t>Interior Lighting Express - No Control - Retail Supermarket - Retrofit - SBE - UT</t>
  </si>
  <si>
    <t>Interior Lighting Express - No Control - Retail Supermarket - Retrofit - UT</t>
  </si>
  <si>
    <t>Interior Lighting Express - No Control - School K-12 - Retrofit - SBE - UT</t>
  </si>
  <si>
    <t>Interior Lighting Express - No Control - School K-12 - Retrofit - UT</t>
  </si>
  <si>
    <t>Interior Lighting Express - No Control - Warehouse - Retrofit - SBE - UT</t>
  </si>
  <si>
    <t>Interior Lighting Express - No Control - Warehouse - Retrofit - UT</t>
  </si>
  <si>
    <t>Express Lighting Tool Full Measure Description</t>
  </si>
  <si>
    <t>DSM Measure Identifier</t>
  </si>
  <si>
    <t>Identify which lights to upgrade at your facility.</t>
  </si>
  <si>
    <t>Install new equipment in your facility.</t>
  </si>
  <si>
    <t>invoice, and required documentation.</t>
  </si>
  <si>
    <t>Matched Measure Name</t>
  </si>
  <si>
    <t>Assembly SMBE - LED without Controls</t>
  </si>
  <si>
    <t>Assembly SMBE - LED NLC</t>
  </si>
  <si>
    <t>Assembly SMBE - LED LLLC</t>
  </si>
  <si>
    <t>Assembly SMBE - Exterior LED - Band 1</t>
  </si>
  <si>
    <t>Assembly SMBE - Exterior LED - Band 2</t>
  </si>
  <si>
    <t>Assembly SMBE - Exterior LED - Band 3</t>
  </si>
  <si>
    <t>Assembly LED without Controls</t>
  </si>
  <si>
    <t>Assembly LED NLC</t>
  </si>
  <si>
    <t>Assembly LED LLLC</t>
  </si>
  <si>
    <t>Assembly Exterior LED - Band 1</t>
  </si>
  <si>
    <t>Assembly Exterior LED - Band 2</t>
  </si>
  <si>
    <t>Assembly Exterior LED - Band 3</t>
  </si>
  <si>
    <t>Automotive Repair SMBE - LED without Controls</t>
  </si>
  <si>
    <t>Automotive Repair SMBE - LED NLC</t>
  </si>
  <si>
    <t>Automotive Repair SMBE - LED LLLC</t>
  </si>
  <si>
    <t>Automotive Repair SMBE - Exterior LED - Band 1</t>
  </si>
  <si>
    <t>Automotive Repair SMBE - Exterior LED - Band 2</t>
  </si>
  <si>
    <t>Automotive Repair SMBE - Exterior LED - Band 3</t>
  </si>
  <si>
    <t>Automotive Repair LED without Controls</t>
  </si>
  <si>
    <t>Automotive Repair LED NLC</t>
  </si>
  <si>
    <t>Automotive Repair LED LLLC</t>
  </si>
  <si>
    <t>Automotive Repair Exterior LED - Band 1</t>
  </si>
  <si>
    <t>Automotive Repair Exterior LED - Band 2</t>
  </si>
  <si>
    <t>Automotive Repair Exterior LED - Band 3</t>
  </si>
  <si>
    <t>College or University SMBE - LED without Controls</t>
  </si>
  <si>
    <t>College or University SMBE - LED NLC</t>
  </si>
  <si>
    <t>College or University SMBE - LED LLLC</t>
  </si>
  <si>
    <t>College or University SMBE - Exterior LED - Band 1</t>
  </si>
  <si>
    <t>College or University SMBE - Exterior LED - Band 2</t>
  </si>
  <si>
    <t>College or University SMBE - Exterior LED - Band 3</t>
  </si>
  <si>
    <t>College or University LED without Controls</t>
  </si>
  <si>
    <t>College or University LED NLC</t>
  </si>
  <si>
    <t>College or University LED LLLC</t>
  </si>
  <si>
    <t>College or University Exterior LED - Band 1</t>
  </si>
  <si>
    <t>College or University Exterior LED - Band 2</t>
  </si>
  <si>
    <t>College or University Exterior LED - Band 3</t>
  </si>
  <si>
    <t>Hospital LED without Controls</t>
  </si>
  <si>
    <t>Hospital LED NLC</t>
  </si>
  <si>
    <t>Hospital LED LLLC</t>
  </si>
  <si>
    <t>Hospital Exterior LED - Band 1</t>
  </si>
  <si>
    <t>Hospital Exterior LED - Band 2</t>
  </si>
  <si>
    <t>Hospital Exterior LED - Band 3</t>
  </si>
  <si>
    <t>Industrial Plant with Two Shifts SMBE - LED without Controls</t>
  </si>
  <si>
    <t>Industrial Plant with Two Shifts SMBE - LED NLC</t>
  </si>
  <si>
    <t>Industrial Plant with Two Shifts SMBE - LED LLLC</t>
  </si>
  <si>
    <t>Industrial Plant with Two Shifts SMBE - Exterior LED - Band 1</t>
  </si>
  <si>
    <t>Industrial Plant with Two Shifts SMBE - Exterior LED - Band 2</t>
  </si>
  <si>
    <t>Industrial Plant with Two Shifts SMBE - Exterior LED - Band 3</t>
  </si>
  <si>
    <t>Industrial Plant with Two Shifts LED without Controls</t>
  </si>
  <si>
    <t>Industrial Plant with Two Shifts LED NLC</t>
  </si>
  <si>
    <t>Industrial Plant with Two Shifts LED LLLC</t>
  </si>
  <si>
    <t>Industrial Plant with Two Shifts Exterior LED - Band 1</t>
  </si>
  <si>
    <t>Industrial Plant with Two Shifts Exterior LED - Band 2</t>
  </si>
  <si>
    <t>Industrial Plant with Two Shifts Exterior LED - Band 3</t>
  </si>
  <si>
    <t>Library SMBE - LED without Controls</t>
  </si>
  <si>
    <t>Library SMBE - LED NLC</t>
  </si>
  <si>
    <t>Library SMBE - LED LLLC</t>
  </si>
  <si>
    <t>Library SMBE - Exterior LED - Band 1</t>
  </si>
  <si>
    <t>Library SMBE - Exterior LED - Band 2</t>
  </si>
  <si>
    <t>Library SMBE - Exterior LED - Band 3</t>
  </si>
  <si>
    <t>Library LED without Controls</t>
  </si>
  <si>
    <t>Library LED NLC</t>
  </si>
  <si>
    <t>Library LED LLLC</t>
  </si>
  <si>
    <t>Library Exterior LED - Band 1</t>
  </si>
  <si>
    <t>Library Exterior LED - Band 2</t>
  </si>
  <si>
    <t>Library Exterior LED - Band 3</t>
  </si>
  <si>
    <t>Lodging SMBE - LED without Controls</t>
  </si>
  <si>
    <t>Lodging SMBE - LED NLC</t>
  </si>
  <si>
    <t>Lodging SMBE - LED LLLC</t>
  </si>
  <si>
    <t>Lodging SMBE - Exterior LED - Band 1</t>
  </si>
  <si>
    <t>Lodging SMBE - Exterior LED - Band 2</t>
  </si>
  <si>
    <t>Lodging SMBE - Exterior LED - Band 3</t>
  </si>
  <si>
    <t>Lodging LED without Controls</t>
  </si>
  <si>
    <t>Lodging LED NLC</t>
  </si>
  <si>
    <t>Lodging LED LLLC</t>
  </si>
  <si>
    <t>Lodging Exterior LED - Band 1</t>
  </si>
  <si>
    <t>Lodging Exterior LED - Band 2</t>
  </si>
  <si>
    <t>Lodging Exterior LED - Band 3</t>
  </si>
  <si>
    <t>Manufacturing SMBE - LED without Controls</t>
  </si>
  <si>
    <t>Manufacturing SMBE - LED NLC</t>
  </si>
  <si>
    <t>Manufacturing SMBE - LED LLLC</t>
  </si>
  <si>
    <t>Manufacturing SMBE - Exterior LED - Band 1</t>
  </si>
  <si>
    <t>Manufacturing SMBE - Exterior LED - Band 2</t>
  </si>
  <si>
    <t>Manufacturing SMBE - Exterior LED - Band 3</t>
  </si>
  <si>
    <t>Manufacturing LED without Controls</t>
  </si>
  <si>
    <t>Manufacturing LED NLC</t>
  </si>
  <si>
    <t>Manufacturing LED LLLC</t>
  </si>
  <si>
    <t>Manufacturing Exterior LED - Band 1</t>
  </si>
  <si>
    <t>Manufacturing Exterior LED - Band 2</t>
  </si>
  <si>
    <t>Manufacturing Exterior LED - Band 3</t>
  </si>
  <si>
    <t>Office &lt;20,000 sf SMBE - LED without Controls</t>
  </si>
  <si>
    <t>Office &lt;20,000 sf SMBE - LED NLC</t>
  </si>
  <si>
    <t>Office &lt;20,000 sf SMBE - LED LLLC</t>
  </si>
  <si>
    <t>Office &lt;20,000 sf SMBE - Exterior LED - Band 1</t>
  </si>
  <si>
    <t>Office &lt;20,000 sf SMBE - Exterior LED - Band 2</t>
  </si>
  <si>
    <t>Office &lt;20,000 sf SMBE - Exterior LED - Band 3</t>
  </si>
  <si>
    <t>Office &lt;20,000 sf LED without Controls</t>
  </si>
  <si>
    <t>Office &lt;20,000 sf LED NLC</t>
  </si>
  <si>
    <t>Office &lt;20,000 sf LED LLLC</t>
  </si>
  <si>
    <t>Office &lt;20,000 sf Exterior LED - Band 1</t>
  </si>
  <si>
    <t>Office &lt;20,000 sf Exterior LED - Band 2</t>
  </si>
  <si>
    <t>Office &lt;20,000 sf Exterior LED - Band 3</t>
  </si>
  <si>
    <t>Office &gt;100,000 sf SMBE - LED without Controls</t>
  </si>
  <si>
    <t>Office &gt;100,000 sf SMBE - LED NLC</t>
  </si>
  <si>
    <t>Office &gt;100,000 sf SMBE - LED LLLC</t>
  </si>
  <si>
    <t>Office &gt;100,000 sf SMBE - Exterior LED - Band 1</t>
  </si>
  <si>
    <t>Office &gt;100,000 sf SMBE - Exterior LED - Band 2</t>
  </si>
  <si>
    <t>Office &gt;100,000 sf SMBE - Exterior LED - Band 3</t>
  </si>
  <si>
    <t>Office &gt;100,000 sf LED without Controls</t>
  </si>
  <si>
    <t>Office &gt;100,000 sf LED NLC</t>
  </si>
  <si>
    <t>Office &gt;100,000 sf LED LLLC</t>
  </si>
  <si>
    <t>Office &gt;100,000 sf Exterior LED - Band 1</t>
  </si>
  <si>
    <t>Office &gt;100,000 sf Exterior LED - Band 2</t>
  </si>
  <si>
    <t>Office &gt;100,000 sf Exterior LED - Band 3</t>
  </si>
  <si>
    <t>Office 20,000 to 100,000 sf SMBE - LED without Controls</t>
  </si>
  <si>
    <t>Office 20,000 to 100,000 sf SMBE - LED NLC</t>
  </si>
  <si>
    <t>Office 20,000 to 100,000 sf SMBE - LED LLLC</t>
  </si>
  <si>
    <t>Office 20,000 to 100,000 sf SMBE - Exterior LED - Band 1</t>
  </si>
  <si>
    <t>Office 20,000 to 100,000 sf SMBE - Exterior LED - Band 2</t>
  </si>
  <si>
    <t>Office 20,000 to 100,000 sf SMBE - Exterior LED - Band 3</t>
  </si>
  <si>
    <t>Office 20,000 to 100,000 sf LED without Controls</t>
  </si>
  <si>
    <t>Office 20,000 to 100,000 sf LED NLC</t>
  </si>
  <si>
    <t>Office 20,000 to 100,000 sf LED LLLC</t>
  </si>
  <si>
    <t>Office 20,000 to 100,000 sf Exterior LED - Band 1</t>
  </si>
  <si>
    <t>Office 20,000 to 100,000 sf Exterior LED - Band 2</t>
  </si>
  <si>
    <t>Office 20,000 to 100,000 sf Exterior LED - Band 3</t>
  </si>
  <si>
    <t>Other SMBE - LED without Controls</t>
  </si>
  <si>
    <t>Other SMBE - LED NLC</t>
  </si>
  <si>
    <t>Other SMBE - LED LLLC</t>
  </si>
  <si>
    <t>Other SMBE - Exterior LED - Band 1</t>
  </si>
  <si>
    <t>Other SMBE - Exterior LED - Band 2</t>
  </si>
  <si>
    <t>Other SMBE - Exterior LED - Band 3</t>
  </si>
  <si>
    <t>Other LED without Controls</t>
  </si>
  <si>
    <t>Other LED NLC</t>
  </si>
  <si>
    <t>Other LED LLLC</t>
  </si>
  <si>
    <t>Other Exterior LED - Band 1</t>
  </si>
  <si>
    <t>Other Exterior LED - Band 2</t>
  </si>
  <si>
    <t>Other Exterior LED - Band 3</t>
  </si>
  <si>
    <t>Other Health, Nursing, Medical Clinic SMBE - LED without Controls</t>
  </si>
  <si>
    <t>Other Health, Nursing, Medical Clinic SMBE - LED NLC</t>
  </si>
  <si>
    <t>Other Health, Nursing, Medical Clinic SMBE - LED LLLC</t>
  </si>
  <si>
    <t>Other Health, Nursing, Medical Clinic SMBE - Exterior LED - Band 1</t>
  </si>
  <si>
    <t>Other Health, Nursing, Medical Clinic SMBE - Exterior LED - Band 2</t>
  </si>
  <si>
    <t>Other Health, Nursing, Medical Clinic SMBE - Exterior LED - Band 3</t>
  </si>
  <si>
    <t>Other Health, Nursing, Medical Clinic LED without Controls</t>
  </si>
  <si>
    <t>Other Health, Nursing, Medical Clinic LED NLC</t>
  </si>
  <si>
    <t>Other Health, Nursing, Medical Clinic LED LLLC</t>
  </si>
  <si>
    <t>Other Health, Nursing, Medical Clinic Exterior LED - Band 1</t>
  </si>
  <si>
    <t>Other Health, Nursing, Medical Clinic Exterior LED - Band 2</t>
  </si>
  <si>
    <t>Other Health, Nursing, Medical Clinic Exterior LED - Band 3</t>
  </si>
  <si>
    <t>Restaurant SMBE - LED without Controls</t>
  </si>
  <si>
    <t>Restaurant SMBE - LED NLC</t>
  </si>
  <si>
    <t>Restaurant SMBE - LED LLLC</t>
  </si>
  <si>
    <t>Restaurant SMBE - Exterior LED - Band 1</t>
  </si>
  <si>
    <t>Restaurant SMBE - Exterior LED - Band 2</t>
  </si>
  <si>
    <t>Restaurant SMBE - Exterior LED - Band 3</t>
  </si>
  <si>
    <t>Restaurant LED without Controls</t>
  </si>
  <si>
    <t>Restaurant LED NLC</t>
  </si>
  <si>
    <t>Restaurant LED LLLC</t>
  </si>
  <si>
    <t>Restaurant Exterior LED - Band 1</t>
  </si>
  <si>
    <t>Restaurant Exterior LED - Band 2</t>
  </si>
  <si>
    <t>Restaurant Exterior LED - Band 3</t>
  </si>
  <si>
    <t>Retail SMBE - LED without Controls</t>
  </si>
  <si>
    <t>Retail SMBE - LED NLC</t>
  </si>
  <si>
    <t>Retail SMBE - LED LLLC</t>
  </si>
  <si>
    <t>Retail SMBE - Exterior LED - Band 1</t>
  </si>
  <si>
    <t>Retail SMBE - Exterior LED - Band 2</t>
  </si>
  <si>
    <t>Retail SMBE - Exterior LED - Band 3</t>
  </si>
  <si>
    <t>Retail LED without Controls</t>
  </si>
  <si>
    <t>Retail LED NLC</t>
  </si>
  <si>
    <t>Retail LED LLLC</t>
  </si>
  <si>
    <t>Retail Exterior LED - Band 1</t>
  </si>
  <si>
    <t>Retail Exterior LED - Band 2</t>
  </si>
  <si>
    <t>Retail Exterior LED - Band 3</t>
  </si>
  <si>
    <t>Retail 5,000 to 50,000 sf SMBE - LED without Controls</t>
  </si>
  <si>
    <t>Retail 5,000 to 50,000 sf SMBE - LED NLC</t>
  </si>
  <si>
    <t>Retail 5,000 to 50,000 sf SMBE - LED LLLC</t>
  </si>
  <si>
    <t>Retail 5,000 to 50,000 sf SMBE - Exterior LED - Band 1</t>
  </si>
  <si>
    <t>Retail 5,000 to 50,000 sf SMBE - Exterior LED - Band 2</t>
  </si>
  <si>
    <t>Retail 5,000 to 50,000 sf SMBE - Exterior LED - Band 3</t>
  </si>
  <si>
    <t>Retail 5,000 to 50,000 sf LED without Controls</t>
  </si>
  <si>
    <t>Retail 5,000 to 50,000 sf LED NLC</t>
  </si>
  <si>
    <t>Retail 5,000 to 50,000 sf LED LLLC</t>
  </si>
  <si>
    <t>Retail 5,000 to 50,000 sf Exterior LED - Band 1</t>
  </si>
  <si>
    <t>Retail 5,000 to 50,000 sf Exterior LED - Band 2</t>
  </si>
  <si>
    <t>Retail 5,000 to 50,000 sf Exterior LED - Band 3</t>
  </si>
  <si>
    <t>Retail Big Box &gt;50,000 sf One-Story SMBE - LED without Controls</t>
  </si>
  <si>
    <t>Retail Big Box &gt;50,000 sf One-Story SMBE - LED NLC</t>
  </si>
  <si>
    <t>Retail Big Box &gt;50,000 sf One-Story SMBE - LED LLLC</t>
  </si>
  <si>
    <t>Retail Big Box &gt;50,000 sf One-Story SMBE - Exterior LED - Band 1</t>
  </si>
  <si>
    <t>Retail Big Box &gt;50,000 sf One-Story SMBE - Exterior LED - Band 2</t>
  </si>
  <si>
    <t>Retail Big Box &gt;50,000 sf One-Story SMBE - Exterior LED - Band 3</t>
  </si>
  <si>
    <t>Retail Big Box &gt;50,000 sf One-Story LED without Controls</t>
  </si>
  <si>
    <t>Retail Big Box &gt;50,000 sf One-Story LED NLC</t>
  </si>
  <si>
    <t>Retail Big Box &gt;50,000 sf One-Story LED LLLC</t>
  </si>
  <si>
    <t>Retail Big Box &gt;50,000 sf One-Story Exterior LED - Band 1</t>
  </si>
  <si>
    <t>Retail Big Box &gt;50,000 sf One-Story Exterior LED - Band 2</t>
  </si>
  <si>
    <t>Retail Big Box &gt;50,000 sf One-Story Exterior LED - Band 3</t>
  </si>
  <si>
    <t>Retail Boutique &lt;5,000 sf SMBE - LED without Controls</t>
  </si>
  <si>
    <t>Retail Boutique &lt;5,000 sf SMBE - LED NLC</t>
  </si>
  <si>
    <t>Retail Boutique &lt;5,000 sf SMBE - LED LLLC</t>
  </si>
  <si>
    <t>Retail Boutique &lt;5,000 sf SMBE - Exterior LED - Band 1</t>
  </si>
  <si>
    <t>Retail Boutique &lt;5,000 sf SMBE - Exterior LED - Band 2</t>
  </si>
  <si>
    <t>Retail Boutique &lt;5,000 sf SMBE - Exterior LED - Band 3</t>
  </si>
  <si>
    <t>Retail Boutique &lt;5,000 sf LED without Controls</t>
  </si>
  <si>
    <t>Retail Boutique &lt;5,000 sf LED NLC</t>
  </si>
  <si>
    <t>Retail Boutique &lt;5,000 sf LED LLLC</t>
  </si>
  <si>
    <t>Retail Boutique &lt;5,000 sf Exterior LED - Band 1</t>
  </si>
  <si>
    <t>Retail Boutique &lt;5,000 sf Exterior LED - Band 2</t>
  </si>
  <si>
    <t>Retail Boutique &lt;5,000 sf Exterior LED - Band 3</t>
  </si>
  <si>
    <t>Retail Mini Mart SMBE - LED without Controls</t>
  </si>
  <si>
    <t>Retail Mini Mart SMBE - LED NLC</t>
  </si>
  <si>
    <t>Retail Mini Mart SMBE - LED LLLC</t>
  </si>
  <si>
    <t>Retail Mini Mart SMBE - Exterior LED - Band 1</t>
  </si>
  <si>
    <t>Retail Mini Mart SMBE - Exterior LED - Band 2</t>
  </si>
  <si>
    <t>Retail Mini Mart SMBE - Exterior LED - Band 3</t>
  </si>
  <si>
    <t>Retail Mini Mart LED without Controls</t>
  </si>
  <si>
    <t>Retail Mini Mart LED NLC</t>
  </si>
  <si>
    <t>Retail Mini Mart LED LLLC</t>
  </si>
  <si>
    <t>Retail Mini Mart Exterior LED - Band 1</t>
  </si>
  <si>
    <t>Retail Mini Mart Exterior LED - Band 2</t>
  </si>
  <si>
    <t>Retail Mini Mart Exterior LED - Band 3</t>
  </si>
  <si>
    <t>Retail Supermarket SMBE - LED without Controls</t>
  </si>
  <si>
    <t>Retail Supermarket SMBE - LED NLC</t>
  </si>
  <si>
    <t>Retail Supermarket SMBE - LED LLLC</t>
  </si>
  <si>
    <t>Retail Supermarket SMBE - Exterior LED - Band 1</t>
  </si>
  <si>
    <t>Retail Supermarket SMBE - Exterior LED - Band 2</t>
  </si>
  <si>
    <t>Retail Supermarket SMBE - Exterior LED - Band 3</t>
  </si>
  <si>
    <t>Retail Supermarket LED without Controls</t>
  </si>
  <si>
    <t>Retail Supermarket LED NLC</t>
  </si>
  <si>
    <t>Retail Supermarket LED LLLC</t>
  </si>
  <si>
    <t>Retail Supermarket Exterior LED - Band 1</t>
  </si>
  <si>
    <t>Retail Supermarket Exterior LED - Band 2</t>
  </si>
  <si>
    <t>Retail Supermarket Exterior LED - Band 3</t>
  </si>
  <si>
    <t>School K-12 SMBE - LED without Controls</t>
  </si>
  <si>
    <t>School K-12 SMBE - LED NLC</t>
  </si>
  <si>
    <t>School K-12 SMBE - LED LLLC</t>
  </si>
  <si>
    <t>School K-12 SMBE - Exterior LED - Band 1</t>
  </si>
  <si>
    <t>School K-12 SMBE - Exterior LED - Band 2</t>
  </si>
  <si>
    <t>School K-12 SMBE - Exterior LED - Band 3</t>
  </si>
  <si>
    <t>School K-12 LED without Controls</t>
  </si>
  <si>
    <t>School K-12 LED NLC</t>
  </si>
  <si>
    <t>School K-12 LED LLLC</t>
  </si>
  <si>
    <t>School K-12 Exterior LED - Band 1</t>
  </si>
  <si>
    <t>School K-12 Exterior LED - Band 2</t>
  </si>
  <si>
    <t>School K-12 Exterior LED - Band 3</t>
  </si>
  <si>
    <t>Warehouse SMBE - LED without Controls</t>
  </si>
  <si>
    <t>Warehouse SMBE - LED NLC</t>
  </si>
  <si>
    <t>Warehouse SMBE - LED LLLC</t>
  </si>
  <si>
    <t>Warehouse SMBE - Exterior LED - Band 1</t>
  </si>
  <si>
    <t>Warehouse SMBE - Exterior LED - Band 2</t>
  </si>
  <si>
    <t>Warehouse SMBE - Exterior LED - Band 3</t>
  </si>
  <si>
    <t>Warehouse LED without Controls</t>
  </si>
  <si>
    <t>Warehouse LED NLC</t>
  </si>
  <si>
    <t>Warehouse LED LLLC</t>
  </si>
  <si>
    <t>Warehouse Exterior LED - Band 1</t>
  </si>
  <si>
    <t>Warehouse Exterior LED - Band 2</t>
  </si>
  <si>
    <t>Warehouse Exterior LED - Band 3</t>
  </si>
  <si>
    <t>Measure Reference Number</t>
  </si>
  <si>
    <t>Spruce External ID</t>
  </si>
  <si>
    <t>Measure Identifier</t>
  </si>
  <si>
    <t>Total kWh/yr Savings (Stipulated)</t>
  </si>
  <si>
    <t>Total kW Reduction (Stipulated)</t>
  </si>
  <si>
    <t>Total Energy Cost Savings (Actual)</t>
  </si>
  <si>
    <t>Capped</t>
  </si>
  <si>
    <t>LTVersion</t>
  </si>
  <si>
    <t>Facility Type</t>
  </si>
  <si>
    <t>Code LPD</t>
  </si>
  <si>
    <t>Proposed LPD</t>
  </si>
  <si>
    <t>% Savings</t>
  </si>
  <si>
    <t>% LPD Better than Code</t>
  </si>
  <si>
    <t>SPB W/O Incentive</t>
  </si>
  <si>
    <t>SPB with Incentive</t>
  </si>
  <si>
    <t>Measure Category</t>
  </si>
  <si>
    <t>Measure Type</t>
  </si>
  <si>
    <t>Measure Sub Type</t>
  </si>
  <si>
    <t>Version Number</t>
  </si>
  <si>
    <t>Effective Start Date</t>
  </si>
  <si>
    <t>Effective End Date</t>
  </si>
  <si>
    <t>Gross incremental annual electric savings unit</t>
  </si>
  <si>
    <t>GrossIncrementalAnnualElectricSavings (kWh/yr)</t>
  </si>
  <si>
    <t>Gross Average Monthly Demand Reduction (kW/unit)</t>
  </si>
  <si>
    <t>IncrementalCostDollarUnit</t>
  </si>
  <si>
    <t>IncrementalCostPerUnit($/unit)</t>
  </si>
  <si>
    <t>CustomerIncentive($/unit)</t>
  </si>
  <si>
    <t>Unit</t>
  </si>
  <si>
    <t>Project Cap</t>
  </si>
  <si>
    <t>ProjectCap%</t>
  </si>
  <si>
    <t>Lighting</t>
  </si>
  <si>
    <t>Exterior</t>
  </si>
  <si>
    <t>LED</t>
  </si>
  <si>
    <t>Watt Installed</t>
  </si>
  <si>
    <t>Interior</t>
  </si>
  <si>
    <t>Measure Version</t>
  </si>
  <si>
    <t>Selected kW Rate</t>
  </si>
  <si>
    <t>LED Plug and Play Controls Ready</t>
  </si>
  <si>
    <t>Assembly SMBE - LED Plug and Play Controls Ready</t>
  </si>
  <si>
    <t>Assembly LED Plug and Play Controls Ready</t>
  </si>
  <si>
    <t>Automotive Repair SMBE - LED Plug and Play Controls Ready</t>
  </si>
  <si>
    <t>Automotive Repair LED Plug and Play Controls Ready</t>
  </si>
  <si>
    <t>College or University SMBE - LED Plug and Play Controls Ready</t>
  </si>
  <si>
    <t>College or University LED Plug and Play Controls Ready</t>
  </si>
  <si>
    <t>Hospital LED Plug and Play Controls Ready</t>
  </si>
  <si>
    <t>Industrial Plant with Two Shifts SMBE - LED Plug and Play Controls Ready</t>
  </si>
  <si>
    <t>Industrial Plant with Two Shifts LED Plug and Play Controls Ready</t>
  </si>
  <si>
    <t>Library SMBE - LED Plug and Play Controls Ready</t>
  </si>
  <si>
    <t>Library LED Plug and Play Controls Ready</t>
  </si>
  <si>
    <t>Lodging SMBE - LED Plug and Play Controls Ready</t>
  </si>
  <si>
    <t>Lodging LED Plug and Play Controls Ready</t>
  </si>
  <si>
    <t>Manufacturing SMBE - LED Plug and Play Controls Ready</t>
  </si>
  <si>
    <t>Manufacturing LED Plug and Play Controls Ready</t>
  </si>
  <si>
    <t>Office &lt;20,000 sf SMBE - LED Plug and Play Controls Ready</t>
  </si>
  <si>
    <t>Office &lt;20,000 sf LED Plug and Play Controls Ready</t>
  </si>
  <si>
    <t>Office &gt;100,000 sf SMBE - LED Plug and Play Controls Ready</t>
  </si>
  <si>
    <t>Office &gt;100,000 sf LED Plug and Play Controls Ready</t>
  </si>
  <si>
    <t>Office 20,000 to 100,000 sf SMBE - LED Plug and Play Controls Ready</t>
  </si>
  <si>
    <t>Office 20,000 to 100,000 sf LED Plug and Play Controls Ready</t>
  </si>
  <si>
    <t>Other SMBE - LED Plug and Play Controls Ready</t>
  </si>
  <si>
    <t>Other LED Plug and Play Controls Ready</t>
  </si>
  <si>
    <t>Other Health, Nursing, Medical Clinic SMBE - LED Plug and Play Controls Ready</t>
  </si>
  <si>
    <t>Other Health, Nursing, Medical Clinic LED Plug and Play Controls Ready</t>
  </si>
  <si>
    <t>Restaurant SMBE - LED Plug and Play Controls Ready</t>
  </si>
  <si>
    <t>Restaurant LED Plug and Play Controls Ready</t>
  </si>
  <si>
    <t>Retail SMBE - LED Plug and Play Controls Ready</t>
  </si>
  <si>
    <t>Retail LED Plug and Play Controls Ready</t>
  </si>
  <si>
    <t>Retail 5,000 to 50,000 sf SMBE - LED Plug and Play Controls Ready</t>
  </si>
  <si>
    <t>Retail 5,000 to 50,000 sf LED Plug and Play Controls Ready</t>
  </si>
  <si>
    <t>Retail Big Box &gt;50,000 sf One-Story SMBE - LED Plug and Play Controls Ready</t>
  </si>
  <si>
    <t>Retail Big Box &gt;50,000 sf One-Story LED Plug and Play Controls Ready</t>
  </si>
  <si>
    <t>Retail Boutique &lt;5,000 sf SMBE - LED Plug and Play Controls Ready</t>
  </si>
  <si>
    <t>Retail Boutique &lt;5,000 sf LED Plug and Play Controls Ready</t>
  </si>
  <si>
    <t>Retail Mini Mart SMBE - LED Plug and Play Controls Ready</t>
  </si>
  <si>
    <t>Retail Mini Mart LED Plug and Play Controls Ready</t>
  </si>
  <si>
    <t>Retail Supermarket SMBE - LED Plug and Play Controls Ready</t>
  </si>
  <si>
    <t>Retail Supermarket LED Plug and Play Controls Ready</t>
  </si>
  <si>
    <t>School K-12 SMBE - LED Plug and Play Controls Ready</t>
  </si>
  <si>
    <t>School K-12 LED Plug and Play Controls Ready</t>
  </si>
  <si>
    <t>Warehouse SMBE - LED Plug and Play Controls Ready</t>
  </si>
  <si>
    <t>Warehouse LED Plug and Play Controls Ready</t>
  </si>
  <si>
    <t>07072025-184</t>
  </si>
  <si>
    <t>07072025-181</t>
  </si>
  <si>
    <t>07072025-185</t>
  </si>
  <si>
    <t>07072025-182</t>
  </si>
  <si>
    <t>07072025-186</t>
  </si>
  <si>
    <t>07072025-183</t>
  </si>
  <si>
    <t>07072025-119</t>
  </si>
  <si>
    <t>07072025-032</t>
  </si>
  <si>
    <t>07072025-120</t>
  </si>
  <si>
    <t>07072025-033</t>
  </si>
  <si>
    <t>07072025-138</t>
  </si>
  <si>
    <t>07072025-040</t>
  </si>
  <si>
    <t>07072025-052</t>
  </si>
  <si>
    <t>07072025-134</t>
  </si>
  <si>
    <t>07072025-049</t>
  </si>
  <si>
    <t>07072025-124</t>
  </si>
  <si>
    <t>07072025-038</t>
  </si>
  <si>
    <t>07072025-121</t>
  </si>
  <si>
    <t>07072025-034</t>
  </si>
  <si>
    <t>07072025-128</t>
  </si>
  <si>
    <t>07072025-042</t>
  </si>
  <si>
    <t>07072025-126</t>
  </si>
  <si>
    <t>07072025-035</t>
  </si>
  <si>
    <t>07072025-136</t>
  </si>
  <si>
    <t>07072025-051</t>
  </si>
  <si>
    <t>07072025-137</t>
  </si>
  <si>
    <t>07072025-043</t>
  </si>
  <si>
    <t>07072025-129</t>
  </si>
  <si>
    <t>07072025-044</t>
  </si>
  <si>
    <t>07072025-122</t>
  </si>
  <si>
    <t>07072025-036</t>
  </si>
  <si>
    <t>07072025-130</t>
  </si>
  <si>
    <t>07072025-045</t>
  </si>
  <si>
    <t>07072025-131</t>
  </si>
  <si>
    <t>07072025-046</t>
  </si>
  <si>
    <t>07072025-118</t>
  </si>
  <si>
    <t>07072025-031</t>
  </si>
  <si>
    <t>07072025-135</t>
  </si>
  <si>
    <t>07072025-050</t>
  </si>
  <si>
    <t>07072025-125</t>
  </si>
  <si>
    <t>07072025-039</t>
  </si>
  <si>
    <t>07072025-123</t>
  </si>
  <si>
    <t>07072025-037</t>
  </si>
  <si>
    <t>07072025-133</t>
  </si>
  <si>
    <t>07072025-048</t>
  </si>
  <si>
    <t>07072025-127</t>
  </si>
  <si>
    <t>07072025-041</t>
  </si>
  <si>
    <t>07072025-132</t>
  </si>
  <si>
    <t>07072025-047</t>
  </si>
  <si>
    <t>07072025-161</t>
  </si>
  <si>
    <t>07072025-076</t>
  </si>
  <si>
    <t>07072025-162</t>
  </si>
  <si>
    <t>07072025-077</t>
  </si>
  <si>
    <t>07072025-180</t>
  </si>
  <si>
    <t>07072025-084</t>
  </si>
  <si>
    <t>07072025-096</t>
  </si>
  <si>
    <t>07072025-176</t>
  </si>
  <si>
    <t>07072025-093</t>
  </si>
  <si>
    <t>07072025-166</t>
  </si>
  <si>
    <t>07072025-082</t>
  </si>
  <si>
    <t>07072025-163</t>
  </si>
  <si>
    <t>07072025-078</t>
  </si>
  <si>
    <t>07072025-170</t>
  </si>
  <si>
    <t>07072025-086</t>
  </si>
  <si>
    <t>07072025-168</t>
  </si>
  <si>
    <t>07072025-079</t>
  </si>
  <si>
    <t>07072025-178</t>
  </si>
  <si>
    <t>07072025-095</t>
  </si>
  <si>
    <t>07072025-179</t>
  </si>
  <si>
    <t>07072025-087</t>
  </si>
  <si>
    <t>07072025-171</t>
  </si>
  <si>
    <t>07072025-088</t>
  </si>
  <si>
    <t>07072025-164</t>
  </si>
  <si>
    <t>07072025-080</t>
  </si>
  <si>
    <t>07072025-172</t>
  </si>
  <si>
    <t>07072025-089</t>
  </si>
  <si>
    <t>07072025-173</t>
  </si>
  <si>
    <t>07072025-090</t>
  </si>
  <si>
    <t>07072025-160</t>
  </si>
  <si>
    <t>07072025-075</t>
  </si>
  <si>
    <t>07072025-177</t>
  </si>
  <si>
    <t>07072025-094</t>
  </si>
  <si>
    <t>07072025-167</t>
  </si>
  <si>
    <t>07072025-083</t>
  </si>
  <si>
    <t>07072025-165</t>
  </si>
  <si>
    <t>07072025-081</t>
  </si>
  <si>
    <t>07072025-175</t>
  </si>
  <si>
    <t>07072025-092</t>
  </si>
  <si>
    <t>07072025-169</t>
  </si>
  <si>
    <t>07072025-085</t>
  </si>
  <si>
    <t>07072025-174</t>
  </si>
  <si>
    <t>07072025-091</t>
  </si>
  <si>
    <t>07072025-140</t>
  </si>
  <si>
    <t>07072025-054</t>
  </si>
  <si>
    <t>07072025-141</t>
  </si>
  <si>
    <t>07072025-055</t>
  </si>
  <si>
    <t>07072025-159</t>
  </si>
  <si>
    <t>07072025-062</t>
  </si>
  <si>
    <t>07072025-074</t>
  </si>
  <si>
    <t>07072025-155</t>
  </si>
  <si>
    <t>07072025-071</t>
  </si>
  <si>
    <t>07072025-145</t>
  </si>
  <si>
    <t>07072025-060</t>
  </si>
  <si>
    <t>07072025-142</t>
  </si>
  <si>
    <t>07072025-056</t>
  </si>
  <si>
    <t>07072025-149</t>
  </si>
  <si>
    <t>07072025-064</t>
  </si>
  <si>
    <t>07072025-147</t>
  </si>
  <si>
    <t>07072025-057</t>
  </si>
  <si>
    <t>07072025-157</t>
  </si>
  <si>
    <t>07072025-073</t>
  </si>
  <si>
    <t>07072025-158</t>
  </si>
  <si>
    <t>07072025-065</t>
  </si>
  <si>
    <t>07072025-150</t>
  </si>
  <si>
    <t>07072025-066</t>
  </si>
  <si>
    <t>07072025-143</t>
  </si>
  <si>
    <t>07072025-058</t>
  </si>
  <si>
    <t>07072025-151</t>
  </si>
  <si>
    <t>07072025-067</t>
  </si>
  <si>
    <t>07072025-152</t>
  </si>
  <si>
    <t>07072025-068</t>
  </si>
  <si>
    <t>07072025-139</t>
  </si>
  <si>
    <t>07072025-053</t>
  </si>
  <si>
    <t>07072025-156</t>
  </si>
  <si>
    <t>07072025-072</t>
  </si>
  <si>
    <t>07072025-146</t>
  </si>
  <si>
    <t>07072025-061</t>
  </si>
  <si>
    <t>07072025-144</t>
  </si>
  <si>
    <t>07072025-059</t>
  </si>
  <si>
    <t>07072025-154</t>
  </si>
  <si>
    <t>07072025-070</t>
  </si>
  <si>
    <t>07072025-148</t>
  </si>
  <si>
    <t>07072025-063</t>
  </si>
  <si>
    <t>07072025-153</t>
  </si>
  <si>
    <t>07072025-069</t>
  </si>
  <si>
    <t>07072025-098</t>
  </si>
  <si>
    <t>07072025-010</t>
  </si>
  <si>
    <t>07072025-099</t>
  </si>
  <si>
    <t>07072025-011</t>
  </si>
  <si>
    <t>07072025-117</t>
  </si>
  <si>
    <t>07072025-018</t>
  </si>
  <si>
    <t>07072025-030</t>
  </si>
  <si>
    <t>07072025-113</t>
  </si>
  <si>
    <t>07072025-027</t>
  </si>
  <si>
    <t>07072025-103</t>
  </si>
  <si>
    <t>07072025-016</t>
  </si>
  <si>
    <t>07072025-100</t>
  </si>
  <si>
    <t>07072025-012</t>
  </si>
  <si>
    <t>07072025-107</t>
  </si>
  <si>
    <t>07072025-020</t>
  </si>
  <si>
    <t>07072025-105</t>
  </si>
  <si>
    <t>07072025-013</t>
  </si>
  <si>
    <t>07072025-115</t>
  </si>
  <si>
    <t>07072025-029</t>
  </si>
  <si>
    <t>07072025-116</t>
  </si>
  <si>
    <t>07072025-021</t>
  </si>
  <si>
    <t>07072025-108</t>
  </si>
  <si>
    <t>07072025-022</t>
  </si>
  <si>
    <t>07072025-101</t>
  </si>
  <si>
    <t>07072025-014</t>
  </si>
  <si>
    <t>07072025-109</t>
  </si>
  <si>
    <t>07072025-023</t>
  </si>
  <si>
    <t>07072025-110</t>
  </si>
  <si>
    <t>07072025-024</t>
  </si>
  <si>
    <t>07072025-097</t>
  </si>
  <si>
    <t>07072025-009</t>
  </si>
  <si>
    <t>07072025-114</t>
  </si>
  <si>
    <t>07072025-028</t>
  </si>
  <si>
    <t>07072025-104</t>
  </si>
  <si>
    <t>07072025-017</t>
  </si>
  <si>
    <t>07072025-102</t>
  </si>
  <si>
    <t>07072025-015</t>
  </si>
  <si>
    <t>07072025-112</t>
  </si>
  <si>
    <t>07072025-026</t>
  </si>
  <si>
    <t>07072025-106</t>
  </si>
  <si>
    <t>07072025-019</t>
  </si>
  <si>
    <t>07072025-111</t>
  </si>
  <si>
    <t>07072025-025</t>
  </si>
  <si>
    <t>07072025-184-1</t>
  </si>
  <si>
    <t>07072025-181-1</t>
  </si>
  <si>
    <t>07072025-185-1</t>
  </si>
  <si>
    <t>07072025-182-1</t>
  </si>
  <si>
    <t>07072025-186-1</t>
  </si>
  <si>
    <t>07072025-183-1</t>
  </si>
  <si>
    <t>07072025-119-1</t>
  </si>
  <si>
    <t>07072025-032-1</t>
  </si>
  <si>
    <t>07072025-120-1</t>
  </si>
  <si>
    <t>07072025-033-1</t>
  </si>
  <si>
    <t>07072025-138-1</t>
  </si>
  <si>
    <t>07072025-040-1</t>
  </si>
  <si>
    <t>07072025-052-1</t>
  </si>
  <si>
    <t>07072025-134-1</t>
  </si>
  <si>
    <t>07072025-049-1</t>
  </si>
  <si>
    <t>07072025-124-1</t>
  </si>
  <si>
    <t>07072025-038-1</t>
  </si>
  <si>
    <t>07072025-121-1</t>
  </si>
  <si>
    <t>07072025-034-1</t>
  </si>
  <si>
    <t>07072025-128-1</t>
  </si>
  <si>
    <t>07072025-042-1</t>
  </si>
  <si>
    <t>07072025-126-1</t>
  </si>
  <si>
    <t>07072025-035-1</t>
  </si>
  <si>
    <t>07072025-136-1</t>
  </si>
  <si>
    <t>07072025-051-1</t>
  </si>
  <si>
    <t>07072025-137-1</t>
  </si>
  <si>
    <t>07072025-043-1</t>
  </si>
  <si>
    <t>07072025-129-1</t>
  </si>
  <si>
    <t>07072025-044-1</t>
  </si>
  <si>
    <t>07072025-122-1</t>
  </si>
  <si>
    <t>07072025-036-1</t>
  </si>
  <si>
    <t>07072025-130-1</t>
  </si>
  <si>
    <t>07072025-045-1</t>
  </si>
  <si>
    <t>07072025-131-1</t>
  </si>
  <si>
    <t>07072025-046-1</t>
  </si>
  <si>
    <t>07072025-118-1</t>
  </si>
  <si>
    <t>07072025-031-1</t>
  </si>
  <si>
    <t>07072025-135-1</t>
  </si>
  <si>
    <t>07072025-050-1</t>
  </si>
  <si>
    <t>07072025-125-1</t>
  </si>
  <si>
    <t>07072025-039-1</t>
  </si>
  <si>
    <t>07072025-123-1</t>
  </si>
  <si>
    <t>07072025-037-1</t>
  </si>
  <si>
    <t>07072025-133-1</t>
  </si>
  <si>
    <t>07072025-048-1</t>
  </si>
  <si>
    <t>07072025-127-1</t>
  </si>
  <si>
    <t>07072025-041-1</t>
  </si>
  <si>
    <t>07072025-132-1</t>
  </si>
  <si>
    <t>07072025-047-1</t>
  </si>
  <si>
    <t>07072025-161-1</t>
  </si>
  <si>
    <t>07072025-076-1</t>
  </si>
  <si>
    <t>07072025-162-1</t>
  </si>
  <si>
    <t>07072025-077-1</t>
  </si>
  <si>
    <t>07072025-180-1</t>
  </si>
  <si>
    <t>07072025-084-1</t>
  </si>
  <si>
    <t>07072025-096-1</t>
  </si>
  <si>
    <t>07072025-176-1</t>
  </si>
  <si>
    <t>07072025-093-1</t>
  </si>
  <si>
    <t>07072025-166-1</t>
  </si>
  <si>
    <t>07072025-082-1</t>
  </si>
  <si>
    <t>07072025-163-1</t>
  </si>
  <si>
    <t>07072025-078-1</t>
  </si>
  <si>
    <t>07072025-170-1</t>
  </si>
  <si>
    <t>07072025-086-1</t>
  </si>
  <si>
    <t>07072025-168-1</t>
  </si>
  <si>
    <t>07072025-079-1</t>
  </si>
  <si>
    <t>07072025-178-1</t>
  </si>
  <si>
    <t>07072025-095-1</t>
  </si>
  <si>
    <t>07072025-179-1</t>
  </si>
  <si>
    <t>07072025-087-1</t>
  </si>
  <si>
    <t>07072025-171-1</t>
  </si>
  <si>
    <t>07072025-088-1</t>
  </si>
  <si>
    <t>07072025-164-1</t>
  </si>
  <si>
    <t>07072025-080-1</t>
  </si>
  <si>
    <t>07072025-172-1</t>
  </si>
  <si>
    <t>07072025-089-1</t>
  </si>
  <si>
    <t>07072025-173-1</t>
  </si>
  <si>
    <t>07072025-090-1</t>
  </si>
  <si>
    <t>07072025-160-1</t>
  </si>
  <si>
    <t>07072025-075-1</t>
  </si>
  <si>
    <t>07072025-177-1</t>
  </si>
  <si>
    <t>07072025-094-1</t>
  </si>
  <si>
    <t>07072025-167-1</t>
  </si>
  <si>
    <t>07072025-083-1</t>
  </si>
  <si>
    <t>07072025-165-1</t>
  </si>
  <si>
    <t>07072025-081-1</t>
  </si>
  <si>
    <t>07072025-175-1</t>
  </si>
  <si>
    <t>07072025-092-1</t>
  </si>
  <si>
    <t>07072025-169-1</t>
  </si>
  <si>
    <t>07072025-085-1</t>
  </si>
  <si>
    <t>07072025-174-1</t>
  </si>
  <si>
    <t>07072025-091-1</t>
  </si>
  <si>
    <t>07072025-140-1</t>
  </si>
  <si>
    <t>07072025-054-1</t>
  </si>
  <si>
    <t>07072025-141-1</t>
  </si>
  <si>
    <t>07072025-055-1</t>
  </si>
  <si>
    <t>07072025-159-1</t>
  </si>
  <si>
    <t>07072025-062-1</t>
  </si>
  <si>
    <t>07072025-074-1</t>
  </si>
  <si>
    <t>07072025-155-1</t>
  </si>
  <si>
    <t>07072025-071-1</t>
  </si>
  <si>
    <t>07072025-145-1</t>
  </si>
  <si>
    <t>07072025-060-1</t>
  </si>
  <si>
    <t>07072025-142-1</t>
  </si>
  <si>
    <t>07072025-056-1</t>
  </si>
  <si>
    <t>07072025-149-1</t>
  </si>
  <si>
    <t>07072025-064-1</t>
  </si>
  <si>
    <t>07072025-147-1</t>
  </si>
  <si>
    <t>07072025-057-1</t>
  </si>
  <si>
    <t>07072025-157-1</t>
  </si>
  <si>
    <t>07072025-073-1</t>
  </si>
  <si>
    <t>07072025-158-1</t>
  </si>
  <si>
    <t>07072025-065-1</t>
  </si>
  <si>
    <t>07072025-150-1</t>
  </si>
  <si>
    <t>07072025-066-1</t>
  </si>
  <si>
    <t>07072025-143-1</t>
  </si>
  <si>
    <t>07072025-058-1</t>
  </si>
  <si>
    <t>07072025-151-1</t>
  </si>
  <si>
    <t>07072025-067-1</t>
  </si>
  <si>
    <t>07072025-152-1</t>
  </si>
  <si>
    <t>07072025-068-1</t>
  </si>
  <si>
    <t>07072025-139-1</t>
  </si>
  <si>
    <t>07072025-053-1</t>
  </si>
  <si>
    <t>07072025-156-1</t>
  </si>
  <si>
    <t>07072025-072-1</t>
  </si>
  <si>
    <t>07072025-146-1</t>
  </si>
  <si>
    <t>07072025-061-1</t>
  </si>
  <si>
    <t>07072025-144-1</t>
  </si>
  <si>
    <t>07072025-059-1</t>
  </si>
  <si>
    <t>07072025-154-1</t>
  </si>
  <si>
    <t>07072025-070-1</t>
  </si>
  <si>
    <t>07072025-148-1</t>
  </si>
  <si>
    <t>07072025-063-1</t>
  </si>
  <si>
    <t>07072025-153-1</t>
  </si>
  <si>
    <t>07072025-069-1</t>
  </si>
  <si>
    <t>07072025-098-1</t>
  </si>
  <si>
    <t>07072025-010-1</t>
  </si>
  <si>
    <t>07072025-099-1</t>
  </si>
  <si>
    <t>07072025-011-1</t>
  </si>
  <si>
    <t>07072025-117-1</t>
  </si>
  <si>
    <t>07072025-018-1</t>
  </si>
  <si>
    <t>07072025-030-1</t>
  </si>
  <si>
    <t>07072025-113-1</t>
  </si>
  <si>
    <t>07072025-027-1</t>
  </si>
  <si>
    <t>07072025-103-1</t>
  </si>
  <si>
    <t>07072025-016-1</t>
  </si>
  <si>
    <t>07072025-100-1</t>
  </si>
  <si>
    <t>07072025-012-1</t>
  </si>
  <si>
    <t>07072025-107-1</t>
  </si>
  <si>
    <t>07072025-020-1</t>
  </si>
  <si>
    <t>07072025-105-1</t>
  </si>
  <si>
    <t>07072025-013-1</t>
  </si>
  <si>
    <t>07072025-115-1</t>
  </si>
  <si>
    <t>07072025-029-1</t>
  </si>
  <si>
    <t>07072025-116-1</t>
  </si>
  <si>
    <t>07072025-021-1</t>
  </si>
  <si>
    <t>07072025-108-1</t>
  </si>
  <si>
    <t>07072025-022-1</t>
  </si>
  <si>
    <t>07072025-101-1</t>
  </si>
  <si>
    <t>07072025-014-1</t>
  </si>
  <si>
    <t>07072025-109-1</t>
  </si>
  <si>
    <t>07072025-023-1</t>
  </si>
  <si>
    <t>07072025-110-1</t>
  </si>
  <si>
    <t>07072025-024-1</t>
  </si>
  <si>
    <t>07072025-097-1</t>
  </si>
  <si>
    <t>07072025-009-1</t>
  </si>
  <si>
    <t>07072025-114-1</t>
  </si>
  <si>
    <t>07072025-028-1</t>
  </si>
  <si>
    <t>07072025-104-1</t>
  </si>
  <si>
    <t>07072025-017-1</t>
  </si>
  <si>
    <t>07072025-102-1</t>
  </si>
  <si>
    <t>07072025-015-1</t>
  </si>
  <si>
    <t>07072025-112-1</t>
  </si>
  <si>
    <t>07072025-026-1</t>
  </si>
  <si>
    <t>07072025-106-1</t>
  </si>
  <si>
    <t>07072025-019-1</t>
  </si>
  <si>
    <t>07072025-111-1</t>
  </si>
  <si>
    <t>07072025-025-1</t>
  </si>
  <si>
    <t>Associated Measure Actual Cost / W</t>
  </si>
  <si>
    <t>Total Measure Wattage</t>
  </si>
  <si>
    <t>Total Measure Cost (Actual)</t>
  </si>
  <si>
    <t>Business Type (Hospital is included)</t>
  </si>
  <si>
    <t>Yearly kW Savings kW/yr</t>
  </si>
  <si>
    <t>Measure kWh Savings kWh/yr</t>
  </si>
  <si>
    <t>Measure Name -  Table Reference(RMP2025_Non-ResLightingExpress07.02.2025.xlsm)</t>
  </si>
  <si>
    <t>Complete and submit the online application or lighting post-install application,</t>
  </si>
  <si>
    <t>Project ID #</t>
  </si>
  <si>
    <t>Measure Effective Date</t>
  </si>
  <si>
    <t>Admin:</t>
  </si>
  <si>
    <t>Unique Measure ID</t>
  </si>
  <si>
    <t>MeasureEffectiveDate</t>
  </si>
  <si>
    <t>Project ID</t>
  </si>
  <si>
    <t>Total Incentives</t>
  </si>
  <si>
    <t>3 to 47</t>
  </si>
  <si>
    <t>48 to 95</t>
  </si>
  <si>
    <t>96 to 285</t>
  </si>
  <si>
    <t>Luminaire (Exterior)</t>
  </si>
  <si>
    <t>HIDE</t>
  </si>
  <si>
    <t>V7/11/2025</t>
  </si>
  <si>
    <t>V071125.1</t>
  </si>
  <si>
    <t>Purchase qualified prescriptive equipment from a trade ally of your choice*.</t>
  </si>
  <si>
    <t>* SMBE incentives are only available when installed by approved Wattsmart Business SMB Trade Allies</t>
  </si>
  <si>
    <t>Auto Repair</t>
  </si>
  <si>
    <t>Convenience store</t>
  </si>
  <si>
    <t>Dining - Restaurant</t>
  </si>
  <si>
    <t>Grocery Stores</t>
  </si>
  <si>
    <t>Healthcare - Hospital</t>
  </si>
  <si>
    <t>Healthcare - Medical buildings and clinics</t>
  </si>
  <si>
    <t>Hotel/motel</t>
  </si>
  <si>
    <t>Industrial</t>
  </si>
  <si>
    <t>Manufacturing Facility</t>
  </si>
  <si>
    <t>Office building, office/administrative areas in facilities of other use types</t>
  </si>
  <si>
    <t>Religious Building</t>
  </si>
  <si>
    <t>Retail/wholesale store</t>
  </si>
  <si>
    <t>School - University</t>
  </si>
  <si>
    <t>School preK-12 - buildings/classrooms/daycare centers</t>
  </si>
  <si>
    <t>Warehouse - storage areas</t>
  </si>
  <si>
    <t>DSMC facility type</t>
  </si>
  <si>
    <t>No</t>
  </si>
  <si>
    <t>Total Incentive</t>
  </si>
  <si>
    <t>Total kWh Savings</t>
  </si>
  <si>
    <t>Express Lighting Project Next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</si>
</sst>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0"/>
    <numFmt numFmtId="166" formatCode="&quot;$&quot;#,##0"/>
    <numFmt numFmtId="167" formatCode="&quot;$&quot;#,##0.00"/>
    <numFmt numFmtId="168" formatCode="0.0\ &quot;years&quot;"/>
    <numFmt numFmtId="169" formatCode="0.0\ &quot;years (Typical Incentives)&quot;"/>
    <numFmt numFmtId="170" formatCode="_(* #,##0_);_(* \(#,##0\);_(* &quot;-&quot;??_);_(@_)"/>
    <numFmt numFmtId="171" formatCode="0.0"/>
    <numFmt numFmtId="172" formatCode="_(* #,##0.0000_);_(* \(#,##0.0000\);_(* &quot;-&quot;??_);_(@_)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  <font>
      <u/>
      <sz val="9"/>
      <color theme="0" tint="-0.499984740745262"/>
      <name val="Arial"/>
      <family val="2"/>
    </font>
    <font>
      <sz val="7"/>
      <color theme="0" tint="-0.499984740745262"/>
      <name val="Arial"/>
      <family val="2"/>
    </font>
    <font>
      <b/>
      <sz val="10"/>
      <color rgb="FF0070CD"/>
      <name val="Arial"/>
      <family val="2"/>
    </font>
    <font>
      <sz val="10"/>
      <color theme="1"/>
      <name val="Arial"/>
      <family val="2"/>
    </font>
    <font>
      <b/>
      <sz val="9"/>
      <color theme="0" tint="-0.499984740745262"/>
      <name val="Arial"/>
      <family val="2"/>
    </font>
    <font>
      <b/>
      <sz val="14"/>
      <color theme="0"/>
      <name val="Arial"/>
      <family val="2"/>
    </font>
    <font>
      <sz val="9"/>
      <color theme="0" tint="-0.34998626667073579"/>
      <name val="Arial"/>
      <family val="2"/>
    </font>
    <font>
      <b/>
      <sz val="10"/>
      <color theme="0" tint="-0.499984740745262"/>
      <name val="Arial"/>
      <family val="2"/>
    </font>
    <font>
      <b/>
      <vertAlign val="superscript"/>
      <sz val="10"/>
      <color theme="0" tint="-0.499984740745262"/>
      <name val="Arial"/>
      <family val="2"/>
    </font>
    <font>
      <sz val="24"/>
      <color theme="0" tint="-0.499984740745262"/>
      <name val="Arial"/>
      <family val="2"/>
    </font>
    <font>
      <sz val="28"/>
      <color rgb="FF77BC1F"/>
      <name val="Arial"/>
      <family val="2"/>
    </font>
    <font>
      <sz val="8"/>
      <color rgb="FFC00000"/>
      <name val="Arial"/>
      <family val="2"/>
    </font>
    <font>
      <sz val="8"/>
      <color theme="0" tint="-0.499984740745262"/>
      <name val="Arial"/>
      <family val="2"/>
    </font>
    <font>
      <sz val="14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i/>
      <sz val="7"/>
      <color theme="0" tint="-0.34998626667073579"/>
      <name val="Arial"/>
      <family val="2"/>
    </font>
    <font>
      <sz val="22"/>
      <color theme="0" tint="-0.499984740745262"/>
      <name val="Arial"/>
      <family val="2"/>
    </font>
    <font>
      <sz val="7"/>
      <color theme="0" tint="-0.34998626667073579"/>
      <name val="Arial"/>
      <family val="2"/>
    </font>
    <font>
      <sz val="11"/>
      <name val="Arial"/>
      <family val="2"/>
    </font>
    <font>
      <u/>
      <sz val="11"/>
      <color theme="1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Arial"/>
      <family val="2"/>
    </font>
    <font>
      <sz val="8"/>
      <color theme="2" tint="-0.249977111117893"/>
      <name val="Aptos Narrow"/>
      <family val="2"/>
      <scheme val="minor"/>
    </font>
    <font>
      <sz val="11"/>
      <color theme="2" tint="-0.24997711111789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D"/>
        <bgColor indexed="64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1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44" fontId="6" fillId="0" borderId="0" xfId="2" applyFont="1"/>
    <xf numFmtId="0" fontId="8" fillId="3" borderId="0" xfId="0" applyFont="1" applyFill="1"/>
    <xf numFmtId="0" fontId="8" fillId="5" borderId="0" xfId="0" applyFont="1" applyFill="1"/>
    <xf numFmtId="0" fontId="9" fillId="5" borderId="0" xfId="0" applyFont="1" applyFill="1" applyProtection="1">
      <protection hidden="1"/>
    </xf>
    <xf numFmtId="0" fontId="11" fillId="5" borderId="0" xfId="0" applyFont="1" applyFill="1" applyAlignment="1" applyProtection="1">
      <alignment horizontal="right"/>
      <protection hidden="1"/>
    </xf>
    <xf numFmtId="0" fontId="12" fillId="5" borderId="0" xfId="0" applyFont="1" applyFill="1" applyProtection="1">
      <protection hidden="1"/>
    </xf>
    <xf numFmtId="0" fontId="13" fillId="5" borderId="0" xfId="0" applyFont="1" applyFill="1" applyProtection="1">
      <protection hidden="1"/>
    </xf>
    <xf numFmtId="0" fontId="14" fillId="5" borderId="0" xfId="0" applyFont="1" applyFill="1" applyAlignment="1" applyProtection="1">
      <alignment horizontal="left" indent="1"/>
      <protection hidden="1"/>
    </xf>
    <xf numFmtId="0" fontId="9" fillId="5" borderId="0" xfId="0" applyFont="1" applyFill="1" applyAlignment="1" applyProtection="1">
      <alignment horizontal="left" indent="1"/>
      <protection hidden="1"/>
    </xf>
    <xf numFmtId="0" fontId="10" fillId="5" borderId="0" xfId="0" applyFont="1" applyFill="1" applyAlignment="1" applyProtection="1">
      <alignment horizontal="left" indent="1"/>
      <protection hidden="1"/>
    </xf>
    <xf numFmtId="0" fontId="16" fillId="4" borderId="0" xfId="0" applyFont="1" applyFill="1" applyProtection="1">
      <protection hidden="1"/>
    </xf>
    <xf numFmtId="0" fontId="17" fillId="4" borderId="0" xfId="0" applyFont="1" applyFill="1" applyAlignment="1" applyProtection="1">
      <alignment horizontal="left" indent="3"/>
      <protection hidden="1"/>
    </xf>
    <xf numFmtId="0" fontId="9" fillId="4" borderId="0" xfId="0" applyFont="1" applyFill="1" applyProtection="1">
      <protection hidden="1"/>
    </xf>
    <xf numFmtId="0" fontId="17" fillId="4" borderId="0" xfId="0" applyFont="1" applyFill="1" applyProtection="1">
      <protection hidden="1"/>
    </xf>
    <xf numFmtId="0" fontId="22" fillId="4" borderId="0" xfId="0" applyFont="1" applyFill="1" applyAlignment="1" applyProtection="1">
      <alignment horizontal="left" vertical="center" wrapText="1"/>
      <protection hidden="1"/>
    </xf>
    <xf numFmtId="0" fontId="22" fillId="4" borderId="0" xfId="0" applyFont="1" applyFill="1" applyAlignment="1" applyProtection="1">
      <alignment horizontal="left" vertical="center"/>
      <protection hidden="1"/>
    </xf>
    <xf numFmtId="168" fontId="23" fillId="4" borderId="0" xfId="0" applyNumberFormat="1" applyFont="1" applyFill="1" applyProtection="1">
      <protection hidden="1"/>
    </xf>
    <xf numFmtId="0" fontId="22" fillId="4" borderId="0" xfId="0" applyFont="1" applyFill="1" applyAlignment="1" applyProtection="1">
      <alignment wrapText="1"/>
      <protection hidden="1"/>
    </xf>
    <xf numFmtId="169" fontId="25" fillId="4" borderId="0" xfId="0" applyNumberFormat="1" applyFont="1" applyFill="1" applyAlignment="1" applyProtection="1">
      <alignment horizontal="center" vertical="center"/>
      <protection hidden="1"/>
    </xf>
    <xf numFmtId="164" fontId="26" fillId="4" borderId="0" xfId="0" applyNumberFormat="1" applyFont="1" applyFill="1" applyAlignment="1" applyProtection="1">
      <alignment horizontal="right" vertical="center" shrinkToFit="1"/>
      <protection hidden="1"/>
    </xf>
    <xf numFmtId="0" fontId="17" fillId="4" borderId="0" xfId="0" applyFont="1" applyFill="1" applyAlignment="1" applyProtection="1">
      <alignment horizontal="left" vertical="top" wrapText="1"/>
      <protection hidden="1"/>
    </xf>
    <xf numFmtId="0" fontId="17" fillId="4" borderId="0" xfId="0" applyFont="1" applyFill="1" applyAlignment="1" applyProtection="1">
      <alignment vertical="top"/>
      <protection hidden="1"/>
    </xf>
    <xf numFmtId="0" fontId="22" fillId="4" borderId="0" xfId="0" applyFont="1" applyFill="1" applyAlignment="1" applyProtection="1">
      <alignment vertical="top"/>
      <protection hidden="1"/>
    </xf>
    <xf numFmtId="2" fontId="17" fillId="4" borderId="0" xfId="0" applyNumberFormat="1" applyFont="1" applyFill="1" applyAlignment="1" applyProtection="1">
      <alignment horizontal="center" vertical="top"/>
      <protection hidden="1"/>
    </xf>
    <xf numFmtId="0" fontId="27" fillId="4" borderId="0" xfId="0" applyFont="1" applyFill="1" applyAlignment="1" applyProtection="1">
      <alignment vertical="top" wrapText="1"/>
      <protection hidden="1"/>
    </xf>
    <xf numFmtId="14" fontId="11" fillId="5" borderId="0" xfId="0" applyNumberFormat="1" applyFont="1" applyFill="1" applyAlignment="1" applyProtection="1">
      <alignment horizontal="right" vertical="top"/>
      <protection hidden="1"/>
    </xf>
    <xf numFmtId="0" fontId="0" fillId="5" borderId="0" xfId="0" applyFill="1"/>
    <xf numFmtId="0" fontId="4" fillId="3" borderId="0" xfId="0" applyFont="1" applyFill="1" applyAlignment="1">
      <alignment vertical="center" wrapText="1"/>
    </xf>
    <xf numFmtId="0" fontId="11" fillId="5" borderId="0" xfId="0" applyFont="1" applyFill="1" applyAlignment="1" applyProtection="1">
      <alignment vertical="center" wrapText="1"/>
      <protection hidden="1"/>
    </xf>
    <xf numFmtId="0" fontId="11" fillId="5" borderId="0" xfId="0" applyFont="1" applyFill="1" applyAlignment="1" applyProtection="1">
      <alignment horizontal="left" vertical="center" wrapText="1"/>
      <protection hidden="1"/>
    </xf>
    <xf numFmtId="0" fontId="4" fillId="3" borderId="0" xfId="0" applyFont="1" applyFill="1" applyAlignment="1">
      <alignment wrapText="1"/>
    </xf>
    <xf numFmtId="0" fontId="11" fillId="5" borderId="0" xfId="0" quotePrefix="1" applyFont="1" applyFill="1" applyAlignment="1" applyProtection="1">
      <alignment horizontal="right" vertical="top" wrapText="1"/>
      <protection hidden="1"/>
    </xf>
    <xf numFmtId="0" fontId="11" fillId="5" borderId="0" xfId="0" applyFont="1" applyFill="1" applyAlignment="1" applyProtection="1">
      <alignment wrapText="1"/>
      <protection hidden="1"/>
    </xf>
    <xf numFmtId="0" fontId="11" fillId="5" borderId="0" xfId="0" applyFont="1" applyFill="1" applyAlignment="1" applyProtection="1">
      <alignment vertical="top" wrapText="1"/>
      <protection hidden="1"/>
    </xf>
    <xf numFmtId="0" fontId="11" fillId="5" borderId="0" xfId="0" applyFont="1" applyFill="1" applyAlignment="1" applyProtection="1">
      <alignment vertical="top"/>
      <protection hidden="1"/>
    </xf>
    <xf numFmtId="0" fontId="11" fillId="5" borderId="0" xfId="0" quotePrefix="1" applyFont="1" applyFill="1" applyAlignment="1" applyProtection="1">
      <alignment horizontal="right" wrapText="1"/>
      <protection hidden="1"/>
    </xf>
    <xf numFmtId="0" fontId="11" fillId="5" borderId="0" xfId="0" applyFont="1" applyFill="1" applyProtection="1">
      <protection hidden="1"/>
    </xf>
    <xf numFmtId="1" fontId="17" fillId="4" borderId="0" xfId="0" applyNumberFormat="1" applyFont="1" applyFill="1" applyAlignment="1" applyProtection="1">
      <alignment horizontal="center" vertical="center" wrapText="1"/>
      <protection hidden="1"/>
    </xf>
    <xf numFmtId="2" fontId="17" fillId="4" borderId="0" xfId="0" applyNumberFormat="1" applyFont="1" applyFill="1" applyAlignment="1" applyProtection="1">
      <alignment horizontal="center" vertical="center" wrapText="1"/>
      <protection hidden="1"/>
    </xf>
    <xf numFmtId="0" fontId="22" fillId="4" borderId="0" xfId="0" applyFont="1" applyFill="1" applyAlignment="1" applyProtection="1">
      <alignment vertical="center"/>
      <protection hidden="1"/>
    </xf>
    <xf numFmtId="2" fontId="17" fillId="4" borderId="0" xfId="0" applyNumberFormat="1" applyFont="1" applyFill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left" vertical="top" wrapText="1" indent="4"/>
      <protection hidden="1"/>
    </xf>
    <xf numFmtId="0" fontId="14" fillId="4" borderId="0" xfId="0" applyFont="1" applyFill="1" applyProtection="1"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vertical="top"/>
      <protection hidden="1"/>
    </xf>
    <xf numFmtId="0" fontId="11" fillId="4" borderId="0" xfId="0" applyFont="1" applyFill="1" applyAlignment="1" applyProtection="1">
      <alignment horizontal="left" vertical="top"/>
      <protection hidden="1"/>
    </xf>
    <xf numFmtId="0" fontId="11" fillId="4" borderId="0" xfId="0" applyFont="1" applyFill="1" applyProtection="1"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vertical="center" wrapText="1"/>
      <protection hidden="1"/>
    </xf>
    <xf numFmtId="0" fontId="0" fillId="5" borderId="0" xfId="0" applyFill="1" applyAlignment="1">
      <alignment horizontal="center"/>
    </xf>
    <xf numFmtId="0" fontId="12" fillId="5" borderId="0" xfId="0" applyFont="1" applyFill="1" applyAlignment="1" applyProtection="1">
      <alignment horizontal="right"/>
      <protection hidden="1"/>
    </xf>
    <xf numFmtId="0" fontId="28" fillId="5" borderId="0" xfId="0" applyFont="1" applyFill="1" applyAlignment="1" applyProtection="1">
      <alignment horizontal="center" wrapText="1"/>
      <protection locked="0"/>
    </xf>
    <xf numFmtId="0" fontId="0" fillId="5" borderId="0" xfId="0" applyFill="1" applyAlignment="1">
      <alignment horizontal="right"/>
    </xf>
    <xf numFmtId="0" fontId="29" fillId="5" borderId="0" xfId="3" applyFill="1" applyAlignment="1" applyProtection="1">
      <alignment vertical="top"/>
      <protection hidden="1"/>
    </xf>
    <xf numFmtId="0" fontId="8" fillId="5" borderId="0" xfId="0" applyFont="1" applyFill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vertical="center" wrapText="1"/>
      <protection hidden="1"/>
    </xf>
    <xf numFmtId="0" fontId="4" fillId="3" borderId="11" xfId="0" applyFont="1" applyFill="1" applyBorder="1" applyAlignment="1" applyProtection="1">
      <alignment vertical="center" wrapText="1"/>
      <protection hidden="1"/>
    </xf>
    <xf numFmtId="0" fontId="14" fillId="5" borderId="0" xfId="0" applyFont="1" applyFill="1" applyAlignment="1" applyProtection="1">
      <alignment horizontal="left" vertical="center" indent="1"/>
      <protection hidden="1"/>
    </xf>
    <xf numFmtId="0" fontId="0" fillId="5" borderId="0" xfId="0" applyFill="1" applyAlignment="1">
      <alignment vertical="center"/>
    </xf>
    <xf numFmtId="3" fontId="5" fillId="4" borderId="9" xfId="0" applyNumberFormat="1" applyFont="1" applyFill="1" applyBorder="1" applyAlignment="1">
      <alignment horizontal="center" vertical="center" shrinkToFit="1"/>
    </xf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3" fillId="3" borderId="17" xfId="0" applyFont="1" applyFill="1" applyBorder="1" applyAlignment="1" applyProtection="1">
      <alignment vertical="center" wrapText="1"/>
      <protection hidden="1"/>
    </xf>
    <xf numFmtId="44" fontId="5" fillId="4" borderId="18" xfId="2" applyFont="1" applyFill="1" applyBorder="1" applyAlignment="1" applyProtection="1">
      <alignment horizontal="center" vertical="center" shrinkToFit="1"/>
    </xf>
    <xf numFmtId="44" fontId="5" fillId="4" borderId="19" xfId="2" applyFont="1" applyFill="1" applyBorder="1" applyAlignment="1" applyProtection="1">
      <alignment horizontal="center" vertical="center" shrinkToFit="1"/>
    </xf>
    <xf numFmtId="44" fontId="5" fillId="4" borderId="20" xfId="2" applyFont="1" applyFill="1" applyBorder="1" applyAlignment="1" applyProtection="1">
      <alignment horizontal="center" vertical="center" shrinkToFit="1"/>
    </xf>
    <xf numFmtId="44" fontId="5" fillId="4" borderId="21" xfId="2" applyFont="1" applyFill="1" applyBorder="1" applyAlignment="1" applyProtection="1">
      <alignment horizontal="center" vertical="center" shrinkToFit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/>
    <xf numFmtId="0" fontId="7" fillId="0" borderId="13" xfId="0" applyFont="1" applyBorder="1"/>
    <xf numFmtId="170" fontId="6" fillId="0" borderId="13" xfId="1" applyNumberFormat="1" applyFont="1" applyBorder="1"/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3" fontId="5" fillId="4" borderId="23" xfId="0" applyNumberFormat="1" applyFont="1" applyFill="1" applyBorder="1" applyAlignment="1">
      <alignment horizontal="center" vertical="center" shrinkToFit="1"/>
    </xf>
    <xf numFmtId="165" fontId="5" fillId="4" borderId="23" xfId="0" applyNumberFormat="1" applyFont="1" applyFill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0" fillId="0" borderId="22" xfId="0" applyBorder="1"/>
    <xf numFmtId="44" fontId="5" fillId="4" borderId="25" xfId="2" applyFont="1" applyFill="1" applyBorder="1" applyAlignment="1">
      <alignment horizontal="center" vertical="center" shrinkToFit="1"/>
    </xf>
    <xf numFmtId="0" fontId="0" fillId="0" borderId="14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2" fillId="0" borderId="3" xfId="0" applyFont="1" applyBorder="1"/>
    <xf numFmtId="3" fontId="0" fillId="0" borderId="0" xfId="0" applyNumberFormat="1"/>
    <xf numFmtId="14" fontId="0" fillId="0" borderId="0" xfId="0" applyNumberFormat="1"/>
    <xf numFmtId="8" fontId="0" fillId="0" borderId="0" xfId="0" applyNumberFormat="1"/>
    <xf numFmtId="2" fontId="0" fillId="0" borderId="0" xfId="0" applyNumberFormat="1"/>
    <xf numFmtId="171" fontId="0" fillId="0" borderId="0" xfId="0" applyNumberFormat="1"/>
    <xf numFmtId="172" fontId="6" fillId="0" borderId="13" xfId="1" applyNumberFormat="1" applyFont="1" applyBorder="1"/>
    <xf numFmtId="44" fontId="6" fillId="0" borderId="27" xfId="2" applyFont="1" applyBorder="1" applyAlignment="1">
      <alignment horizontal="right"/>
    </xf>
    <xf numFmtId="3" fontId="7" fillId="0" borderId="13" xfId="0" applyNumberFormat="1" applyFont="1" applyBorder="1"/>
    <xf numFmtId="44" fontId="5" fillId="4" borderId="23" xfId="2" applyFont="1" applyFill="1" applyBorder="1" applyAlignment="1">
      <alignment horizontal="center" vertical="center" shrinkToFit="1"/>
    </xf>
    <xf numFmtId="44" fontId="7" fillId="0" borderId="13" xfId="0" applyNumberFormat="1" applyFont="1" applyBorder="1"/>
    <xf numFmtId="0" fontId="4" fillId="3" borderId="28" xfId="0" applyFont="1" applyFill="1" applyBorder="1" applyAlignment="1" applyProtection="1">
      <alignment vertical="center" wrapText="1"/>
      <protection hidden="1"/>
    </xf>
    <xf numFmtId="0" fontId="4" fillId="3" borderId="30" xfId="0" applyFont="1" applyFill="1" applyBorder="1" applyAlignment="1" applyProtection="1">
      <alignment vertical="center" wrapText="1"/>
      <protection hidden="1"/>
    </xf>
    <xf numFmtId="0" fontId="4" fillId="3" borderId="32" xfId="0" applyFont="1" applyFill="1" applyBorder="1" applyAlignment="1" applyProtection="1">
      <alignment vertical="center" wrapText="1"/>
      <protection hidden="1"/>
    </xf>
    <xf numFmtId="0" fontId="33" fillId="5" borderId="0" xfId="0" applyFont="1" applyFill="1" applyAlignment="1">
      <alignment vertical="center"/>
    </xf>
    <xf numFmtId="0" fontId="11" fillId="4" borderId="0" xfId="0" applyFont="1" applyFill="1" applyAlignment="1" applyProtection="1">
      <alignment vertical="top" wrapText="1"/>
      <protection hidden="1"/>
    </xf>
    <xf numFmtId="0" fontId="34" fillId="0" borderId="0" xfId="0" applyFont="1"/>
    <xf numFmtId="0" fontId="9" fillId="5" borderId="0" xfId="0" applyFont="1" applyFill="1" applyAlignment="1" applyProtection="1">
      <alignment horizontal="left" vertical="center" indent="1"/>
      <protection hidden="1"/>
    </xf>
    <xf numFmtId="0" fontId="4" fillId="7" borderId="29" xfId="0" applyFont="1" applyFill="1" applyBorder="1" applyAlignment="1" applyProtection="1">
      <alignment horizontal="left" vertical="center" wrapText="1"/>
      <protection hidden="1"/>
    </xf>
    <xf numFmtId="0" fontId="4" fillId="7" borderId="31" xfId="0" applyFont="1" applyFill="1" applyBorder="1" applyAlignment="1" applyProtection="1">
      <alignment horizontal="left" vertical="center" wrapText="1"/>
      <protection hidden="1"/>
    </xf>
    <xf numFmtId="44" fontId="4" fillId="7" borderId="31" xfId="0" applyNumberFormat="1" applyFont="1" applyFill="1" applyBorder="1" applyAlignment="1" applyProtection="1">
      <alignment horizontal="left" vertical="center" wrapText="1"/>
      <protection hidden="1"/>
    </xf>
    <xf numFmtId="0" fontId="4" fillId="7" borderId="3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center" wrapText="1"/>
      <protection hidden="1"/>
    </xf>
    <xf numFmtId="0" fontId="0" fillId="5" borderId="0" xfId="0" applyFill="1" applyAlignment="1">
      <alignment horizontal="center" vertical="top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44" fontId="32" fillId="4" borderId="9" xfId="2" applyFont="1" applyFill="1" applyBorder="1" applyAlignment="1">
      <alignment horizontal="center" vertical="center" shrinkToFit="1"/>
    </xf>
    <xf numFmtId="0" fontId="0" fillId="5" borderId="0" xfId="0" applyFill="1" applyAlignment="1">
      <alignment horizontal="center"/>
    </xf>
    <xf numFmtId="44" fontId="3" fillId="2" borderId="9" xfId="2" applyFont="1" applyFill="1" applyBorder="1" applyAlignment="1" applyProtection="1">
      <alignment horizontal="center" vertical="center" wrapText="1"/>
      <protection locked="0"/>
    </xf>
    <xf numFmtId="164" fontId="26" fillId="4" borderId="0" xfId="0" applyNumberFormat="1" applyFont="1" applyFill="1" applyAlignment="1" applyProtection="1">
      <alignment horizontal="right" vertical="center" shrinkToFit="1"/>
      <protection hidden="1"/>
    </xf>
    <xf numFmtId="0" fontId="22" fillId="4" borderId="0" xfId="0" applyFont="1" applyFill="1" applyAlignment="1" applyProtection="1">
      <alignment horizontal="left" vertical="center" wrapText="1"/>
      <protection hidden="1"/>
    </xf>
    <xf numFmtId="168" fontId="24" fillId="4" borderId="0" xfId="0" applyNumberFormat="1" applyFont="1" applyFill="1" applyAlignment="1" applyProtection="1">
      <alignment horizontal="right" vertical="center" indent="1"/>
      <protection hidden="1"/>
    </xf>
    <xf numFmtId="169" fontId="25" fillId="4" borderId="0" xfId="0" applyNumberFormat="1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top" wrapText="1"/>
      <protection hidden="1"/>
    </xf>
    <xf numFmtId="0" fontId="29" fillId="5" borderId="0" xfId="3" applyFill="1" applyAlignment="1" applyProtection="1">
      <alignment horizontal="center" wrapText="1"/>
      <protection hidden="1"/>
    </xf>
    <xf numFmtId="0" fontId="7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67" fontId="20" fillId="4" borderId="0" xfId="0" applyNumberFormat="1" applyFont="1" applyFill="1" applyAlignment="1" applyProtection="1">
      <alignment vertical="center" shrinkToFit="1"/>
      <protection hidden="1"/>
    </xf>
    <xf numFmtId="0" fontId="21" fillId="4" borderId="0" xfId="0" applyFont="1" applyFill="1" applyAlignment="1" applyProtection="1">
      <alignment horizontal="left" vertical="center" wrapText="1"/>
      <protection hidden="1"/>
    </xf>
    <xf numFmtId="3" fontId="19" fillId="4" borderId="0" xfId="0" applyNumberFormat="1" applyFont="1" applyFill="1" applyAlignment="1" applyProtection="1">
      <alignment vertical="center" shrinkToFit="1"/>
      <protection hidden="1"/>
    </xf>
    <xf numFmtId="0" fontId="22" fillId="4" borderId="0" xfId="0" applyFont="1" applyFill="1" applyAlignment="1" applyProtection="1">
      <alignment horizontal="left" vertical="center"/>
      <protection hidden="1"/>
    </xf>
    <xf numFmtId="0" fontId="22" fillId="4" borderId="0" xfId="0" applyFont="1" applyFill="1" applyAlignment="1" applyProtection="1">
      <alignment wrapText="1"/>
      <protection hidden="1"/>
    </xf>
    <xf numFmtId="0" fontId="15" fillId="6" borderId="0" xfId="0" applyFont="1" applyFill="1" applyAlignment="1" applyProtection="1">
      <alignment horizontal="left" vertical="center" indent="1"/>
      <protection hidden="1"/>
    </xf>
    <xf numFmtId="166" fontId="19" fillId="4" borderId="0" xfId="0" applyNumberFormat="1" applyFont="1" applyFill="1" applyAlignment="1" applyProtection="1">
      <alignment vertical="center" shrinkToFit="1"/>
      <protection hidden="1"/>
    </xf>
    <xf numFmtId="168" fontId="24" fillId="4" borderId="0" xfId="0" applyNumberFormat="1" applyFont="1" applyFill="1" applyAlignment="1" applyProtection="1">
      <alignment horizontal="right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504507</xdr:colOff>
      <xdr:row>11</xdr:row>
      <xdr:rowOff>95250</xdr:rowOff>
    </xdr:from>
    <xdr:to>
      <xdr:col>2</xdr:col>
      <xdr:colOff>502586</xdr:colOff>
      <xdr:row>14</xdr:row>
      <xdr:rowOff>120155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7E385F-8DEF-46BF-98BA-1FD1524105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957" y="3905250"/>
          <a:ext cx="573405" cy="570713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16</xdr:row>
      <xdr:rowOff>152400</xdr:rowOff>
    </xdr:from>
    <xdr:to>
      <xdr:col>2</xdr:col>
      <xdr:colOff>541310</xdr:colOff>
      <xdr:row>19</xdr:row>
      <xdr:rowOff>82373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36EA14-2023-42B3-A5CB-4B4248D47D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4838700"/>
          <a:ext cx="667067" cy="475781"/>
        </a:xfrm>
        <a:prstGeom prst="rect">
          <a:avLst/>
        </a:prstGeom>
      </xdr:spPr>
    </xdr:pic>
    <xdr:clientData/>
  </xdr:twoCellAnchor>
  <xdr:twoCellAnchor editAs="oneCell">
    <xdr:from>
      <xdr:col>1</xdr:col>
      <xdr:colOff>466021</xdr:colOff>
      <xdr:row>21</xdr:row>
      <xdr:rowOff>68761</xdr:rowOff>
    </xdr:from>
    <xdr:to>
      <xdr:col>2</xdr:col>
      <xdr:colOff>502368</xdr:colOff>
      <xdr:row>24</xdr:row>
      <xdr:rowOff>33420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0B2079-AD92-424B-8F98-E12B1F5884E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9841" y="3665401"/>
          <a:ext cx="600227" cy="6733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743364</xdr:colOff>
      <xdr:row>21</xdr:row>
      <xdr:rowOff>55978</xdr:rowOff>
    </xdr:from>
    <xdr:to>
      <xdr:col>9</xdr:col>
      <xdr:colOff>390343</xdr:colOff>
      <xdr:row>24</xdr:row>
      <xdr:rowOff>46203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4E4A79-FCF8-4E5D-B653-6774DAE7CC2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52424" y="3652618"/>
          <a:ext cx="690919" cy="6988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530087</xdr:colOff>
      <xdr:row>3</xdr:row>
      <xdr:rowOff>41412</xdr:rowOff>
    </xdr:from>
    <xdr:to>
      <xdr:col>3</xdr:col>
      <xdr:colOff>958122</xdr:colOff>
      <xdr:row>5</xdr:row>
      <xdr:rowOff>29957</xdr:rowOff>
    </xdr:to>
    <xdr:pic>
      <xdr:nvPicPr>
        <xdr:cNvPr id="6" name="PPLogo" hidden="1">
          <a:extLst>
            <a:ext uri="{FF2B5EF4-FFF2-40B4-BE49-F238E27FC236}">
              <a16:creationId xmlns:a16="http://schemas.microsoft.com/office/drawing/2014/main" id="{E2753F79-FDA5-4802-BC89-4BCFB4595CB6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0149" y="236674"/>
          <a:ext cx="2104169" cy="342900"/>
        </a:xfrm>
        <a:prstGeom prst="rect">
          <a:avLst/>
        </a:prstGeom>
      </xdr:spPr>
    </xdr:pic>
    <xdr:clientData/>
  </xdr:twoCellAnchor>
  <xdr:twoCellAnchor>
    <xdr:from>
      <xdr:col>1</xdr:col>
      <xdr:colOff>124239</xdr:colOff>
      <xdr:row>45</xdr:row>
      <xdr:rowOff>165651</xdr:rowOff>
    </xdr:from>
    <xdr:to>
      <xdr:col>12</xdr:col>
      <xdr:colOff>472109</xdr:colOff>
      <xdr:row>46</xdr:row>
      <xdr:rowOff>0</xdr:rowOff>
    </xdr:to>
    <xdr:sp macro="" textlink="">
      <xdr:nvSpPr>
        <xdr:cNvPr id="7" name="LII_Box_Blocker" hidden="1">
          <a:extLst>
            <a:ext uri="{FF2B5EF4-FFF2-40B4-BE49-F238E27FC236}">
              <a16:creationId xmlns:a16="http://schemas.microsoft.com/office/drawing/2014/main" id="{D0CBF2D6-73AE-48EF-BB67-C1D4EEBDAEE8}"/>
            </a:ext>
          </a:extLst>
        </xdr:cNvPr>
        <xdr:cNvSpPr/>
      </xdr:nvSpPr>
      <xdr:spPr>
        <a:xfrm>
          <a:off x="295689" y="10524088"/>
          <a:ext cx="6848682" cy="2008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124239</xdr:colOff>
      <xdr:row>45</xdr:row>
      <xdr:rowOff>165651</xdr:rowOff>
    </xdr:from>
    <xdr:to>
      <xdr:col>12</xdr:col>
      <xdr:colOff>472109</xdr:colOff>
      <xdr:row>46</xdr:row>
      <xdr:rowOff>0</xdr:rowOff>
    </xdr:to>
    <xdr:sp macro="" textlink="">
      <xdr:nvSpPr>
        <xdr:cNvPr id="8" name="LII_Box_Blocker" hidden="1">
          <a:extLst>
            <a:ext uri="{FF2B5EF4-FFF2-40B4-BE49-F238E27FC236}">
              <a16:creationId xmlns:a16="http://schemas.microsoft.com/office/drawing/2014/main" id="{606EA1BB-00EC-4998-8751-A4928A733B80}"/>
            </a:ext>
          </a:extLst>
        </xdr:cNvPr>
        <xdr:cNvSpPr/>
      </xdr:nvSpPr>
      <xdr:spPr>
        <a:xfrm>
          <a:off x="295689" y="10524088"/>
          <a:ext cx="6848682" cy="2008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470863</xdr:colOff>
      <xdr:row>27</xdr:row>
      <xdr:rowOff>139210</xdr:rowOff>
    </xdr:from>
    <xdr:to>
      <xdr:col>2</xdr:col>
      <xdr:colOff>562948</xdr:colOff>
      <xdr:row>30</xdr:row>
      <xdr:rowOff>143063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AE1D35-1464-45E6-A0BA-F2F4A2781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09" y="6455018"/>
          <a:ext cx="681783" cy="719061"/>
        </a:xfrm>
        <a:prstGeom prst="rect">
          <a:avLst/>
        </a:prstGeom>
      </xdr:spPr>
    </xdr:pic>
    <xdr:clientData/>
  </xdr:twoCellAnchor>
  <xdr:twoCellAnchor editAs="oneCell">
    <xdr:from>
      <xdr:col>1</xdr:col>
      <xdr:colOff>504507</xdr:colOff>
      <xdr:row>11</xdr:row>
      <xdr:rowOff>95250</xdr:rowOff>
    </xdr:from>
    <xdr:to>
      <xdr:col>2</xdr:col>
      <xdr:colOff>502586</xdr:colOff>
      <xdr:row>14</xdr:row>
      <xdr:rowOff>120155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B56084-6650-403E-8303-E407BE6482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957" y="3905250"/>
          <a:ext cx="573405" cy="570713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16</xdr:row>
      <xdr:rowOff>152400</xdr:rowOff>
    </xdr:from>
    <xdr:to>
      <xdr:col>2</xdr:col>
      <xdr:colOff>541310</xdr:colOff>
      <xdr:row>19</xdr:row>
      <xdr:rowOff>82373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900A2C-E1C4-4D81-AAAB-EE11078A1AD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4838700"/>
          <a:ext cx="667067" cy="475781"/>
        </a:xfrm>
        <a:prstGeom prst="rect">
          <a:avLst/>
        </a:prstGeom>
      </xdr:spPr>
    </xdr:pic>
    <xdr:clientData/>
  </xdr:twoCellAnchor>
  <xdr:twoCellAnchor editAs="oneCell">
    <xdr:from>
      <xdr:col>0</xdr:col>
      <xdr:colOff>530087</xdr:colOff>
      <xdr:row>3</xdr:row>
      <xdr:rowOff>41412</xdr:rowOff>
    </xdr:from>
    <xdr:to>
      <xdr:col>3</xdr:col>
      <xdr:colOff>958122</xdr:colOff>
      <xdr:row>5</xdr:row>
      <xdr:rowOff>29957</xdr:rowOff>
    </xdr:to>
    <xdr:pic>
      <xdr:nvPicPr>
        <xdr:cNvPr id="15" name="PPLogo" hidden="1">
          <a:extLst>
            <a:ext uri="{FF2B5EF4-FFF2-40B4-BE49-F238E27FC236}">
              <a16:creationId xmlns:a16="http://schemas.microsoft.com/office/drawing/2014/main" id="{70B5C98D-72E5-472F-B2F6-3D28E1437216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0149" y="236674"/>
          <a:ext cx="2104169" cy="342900"/>
        </a:xfrm>
        <a:prstGeom prst="rect">
          <a:avLst/>
        </a:prstGeom>
      </xdr:spPr>
    </xdr:pic>
    <xdr:clientData/>
  </xdr:twoCellAnchor>
  <xdr:twoCellAnchor>
    <xdr:from>
      <xdr:col>1</xdr:col>
      <xdr:colOff>124239</xdr:colOff>
      <xdr:row>45</xdr:row>
      <xdr:rowOff>165651</xdr:rowOff>
    </xdr:from>
    <xdr:to>
      <xdr:col>12</xdr:col>
      <xdr:colOff>472109</xdr:colOff>
      <xdr:row>46</xdr:row>
      <xdr:rowOff>0</xdr:rowOff>
    </xdr:to>
    <xdr:sp macro="" textlink="">
      <xdr:nvSpPr>
        <xdr:cNvPr id="16" name="LII_Box_Blocker" hidden="1">
          <a:extLst>
            <a:ext uri="{FF2B5EF4-FFF2-40B4-BE49-F238E27FC236}">
              <a16:creationId xmlns:a16="http://schemas.microsoft.com/office/drawing/2014/main" id="{EDE95C80-7DE9-449B-9DEC-6198BC6C8577}"/>
            </a:ext>
          </a:extLst>
        </xdr:cNvPr>
        <xdr:cNvSpPr/>
      </xdr:nvSpPr>
      <xdr:spPr>
        <a:xfrm>
          <a:off x="295689" y="10524088"/>
          <a:ext cx="6848682" cy="2008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124239</xdr:colOff>
      <xdr:row>45</xdr:row>
      <xdr:rowOff>165651</xdr:rowOff>
    </xdr:from>
    <xdr:to>
      <xdr:col>12</xdr:col>
      <xdr:colOff>472109</xdr:colOff>
      <xdr:row>46</xdr:row>
      <xdr:rowOff>0</xdr:rowOff>
    </xdr:to>
    <xdr:sp macro="" textlink="">
      <xdr:nvSpPr>
        <xdr:cNvPr id="17" name="LII_Box_Blocker" hidden="1">
          <a:extLst>
            <a:ext uri="{FF2B5EF4-FFF2-40B4-BE49-F238E27FC236}">
              <a16:creationId xmlns:a16="http://schemas.microsoft.com/office/drawing/2014/main" id="{11DE2ADA-E7F0-45E4-AD07-2EDF7CF12053}"/>
            </a:ext>
          </a:extLst>
        </xdr:cNvPr>
        <xdr:cNvSpPr/>
      </xdr:nvSpPr>
      <xdr:spPr>
        <a:xfrm>
          <a:off x="295689" y="10524088"/>
          <a:ext cx="6848682" cy="2008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ita Skoglund" id="{E4D42874-900A-44C3-84D5-02C2B1B919B3}" userId="S::Danita.Skoglund@evergreen.energy::1f1df3b1-a432-4c96-8788-4764c5647275" providerId="AD"/>
</personList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" dT="2025-07-10T16:11:35.49" personId="{E4D42874-900A-44C3-84D5-02C2B1B919B3}" id="{670A7BF7-C39E-4817-9659-81BA79C67FAA}">
    <text>7/10/25- Per Rates For Software 2-6-2025.xlsx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ockymountainpower.net/savings-energy-choices/business/wattsmart-efficiency-incentives-utah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BDEB-A6DC-4967-ABAD-F03D4CE5A912}">
  <sheetPr codeName="Sheet1">
    <pageSetUpPr fitToPage="1"/>
  </sheetPr>
  <dimension ref="A1:AJ79"/>
  <sheetViews>
    <sheetView showGridLines="0" showRowColHeaders="0" tabSelected="1" zoomScaleNormal="100" workbookViewId="0">
      <selection activeCell="G6" sqref="G6:H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1.21875" customWidth="1"/>
    <col min="2" max="2" width="5.109375" customWidth="1"/>
    <col min="3" max="3" width="27.6640625" hidden="1" customWidth="1"/>
    <col min="4" max="4" width="1.77734375" hidden="1" customWidth="1"/>
    <col min="5" max="5" width="18.109375" customWidth="1"/>
    <col min="6" max="6" width="6.33203125" customWidth="1"/>
    <col min="7" max="7" width="6.21875" customWidth="1"/>
    <col min="8" max="8" width="16.6640625" customWidth="1"/>
    <col min="9" max="9" width="23.21875" customWidth="1"/>
    <col min="10" max="10" width="31.77734375" hidden="1" customWidth="1"/>
    <col min="11" max="11" width="49.77734375" hidden="1" customWidth="1"/>
    <col min="12" max="12" width="9.5546875" hidden="1" customWidth="1"/>
    <col min="13" max="13" width="12.77734375" hidden="1" customWidth="1"/>
    <col min="14" max="15" width="7.5546875" hidden="1" customWidth="1"/>
    <col min="16" max="16" width="55.6640625" hidden="1" customWidth="1"/>
    <col min="17" max="17" width="9.44140625" customWidth="1"/>
    <col min="18" max="18" width="13.77734375" customWidth="1"/>
    <col min="19" max="19" width="11.5546875" customWidth="1"/>
    <col min="20" max="20" width="13" hidden="1" customWidth="1"/>
    <col min="21" max="21" width="1.44140625" customWidth="1"/>
    <col min="22" max="22" width="15.6640625" customWidth="1"/>
    <col min="23" max="23" width="15.109375" customWidth="1"/>
  </cols>
  <sheetData>
    <row r="1" spans="1:36" ht="9" customHeight="1" x14ac:dyDescent="0.3">
      <c r="A1" s="59"/>
      <c r="B1" s="59"/>
      <c r="C1" s="59" t="s">
        <v>985</v>
      </c>
      <c r="D1" s="59" t="s">
        <v>985</v>
      </c>
      <c r="E1" s="59"/>
      <c r="F1" s="59"/>
      <c r="G1" s="59"/>
      <c r="H1" s="59"/>
      <c r="I1" s="59"/>
      <c r="J1" s="59" t="s">
        <v>985</v>
      </c>
      <c r="K1" s="59" t="s">
        <v>985</v>
      </c>
      <c r="L1" s="59" t="s">
        <v>985</v>
      </c>
      <c r="M1" s="59" t="s">
        <v>985</v>
      </c>
      <c r="N1" s="59" t="s">
        <v>985</v>
      </c>
      <c r="O1" s="59" t="s">
        <v>985</v>
      </c>
      <c r="P1" s="59" t="s">
        <v>985</v>
      </c>
      <c r="Q1" s="59"/>
      <c r="R1" s="59"/>
      <c r="S1" s="59"/>
      <c r="T1" s="59" t="s">
        <v>985</v>
      </c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</row>
    <row r="2" spans="1:36" ht="42.45" customHeight="1" x14ac:dyDescent="0.3">
      <c r="A2" s="59"/>
      <c r="B2" s="122" t="e" vm="1">
        <v>#VALUE!</v>
      </c>
      <c r="C2" s="122"/>
      <c r="D2" s="122"/>
      <c r="E2" s="122"/>
      <c r="F2" s="122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25" t="e" vm="2">
        <v>#VALUE!</v>
      </c>
      <c r="S2" s="125"/>
      <c r="T2" s="37"/>
      <c r="U2" s="59"/>
      <c r="V2" s="121" t="s">
        <v>976</v>
      </c>
      <c r="W2" s="121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ht="9" customHeight="1" x14ac:dyDescent="0.3">
      <c r="A3" s="59"/>
      <c r="B3" s="122"/>
      <c r="C3" s="122"/>
      <c r="D3" s="122"/>
      <c r="E3" s="122"/>
      <c r="F3" s="122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74"/>
      <c r="S3" s="113"/>
      <c r="T3" s="74"/>
      <c r="U3" s="59"/>
      <c r="V3" s="110" t="s">
        <v>974</v>
      </c>
      <c r="W3" s="117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</row>
    <row r="4" spans="1:36" s="37" customFormat="1" ht="0.45" customHeight="1" x14ac:dyDescent="0.3">
      <c r="A4" s="59"/>
      <c r="B4" s="60"/>
      <c r="C4" s="60"/>
      <c r="E4" s="61"/>
      <c r="F4" s="62"/>
      <c r="G4" s="63"/>
      <c r="H4" s="63"/>
      <c r="I4" s="63"/>
      <c r="J4" s="63"/>
      <c r="K4" s="63"/>
      <c r="L4" s="63"/>
      <c r="M4" s="63"/>
      <c r="Q4" s="63"/>
      <c r="R4" s="60"/>
      <c r="S4" s="60"/>
      <c r="T4" s="60"/>
      <c r="U4" s="59"/>
      <c r="V4" s="111"/>
      <c r="W4" s="118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</row>
    <row r="5" spans="1:36" s="37" customFormat="1" ht="17.399999999999999" customHeight="1" x14ac:dyDescent="0.3">
      <c r="A5" s="59"/>
      <c r="B5" s="60"/>
      <c r="E5" s="16" t="s">
        <v>46</v>
      </c>
      <c r="F5" s="17"/>
      <c r="G5" s="17"/>
      <c r="H5" s="17"/>
      <c r="I5" s="16" t="s">
        <v>47</v>
      </c>
      <c r="J5" s="16"/>
      <c r="K5" s="16"/>
      <c r="L5" s="16"/>
      <c r="M5" s="16"/>
      <c r="Q5" s="16"/>
      <c r="R5" s="17"/>
      <c r="S5" s="113" t="s">
        <v>987</v>
      </c>
      <c r="U5" s="59"/>
      <c r="V5" s="111" t="s">
        <v>975</v>
      </c>
      <c r="W5" s="118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</row>
    <row r="6" spans="1:36" s="37" customFormat="1" ht="15" customHeight="1" x14ac:dyDescent="0.3">
      <c r="A6" s="59"/>
      <c r="B6" s="60"/>
      <c r="E6" s="18" t="s">
        <v>63</v>
      </c>
      <c r="F6" s="14"/>
      <c r="G6" s="123"/>
      <c r="H6" s="123"/>
      <c r="I6" s="73" t="s">
        <v>39</v>
      </c>
      <c r="J6" s="73"/>
      <c r="K6" s="73"/>
      <c r="L6" s="73"/>
      <c r="M6" s="73"/>
      <c r="N6" s="20"/>
      <c r="Q6" s="123" t="s">
        <v>1006</v>
      </c>
      <c r="R6" s="123"/>
      <c r="U6" s="59"/>
      <c r="V6" s="111" t="s">
        <v>1007</v>
      </c>
      <c r="W6" s="119" t="str">
        <f>S48</f>
        <v>-</v>
      </c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</row>
    <row r="7" spans="1:36" s="37" customFormat="1" ht="15" customHeight="1" x14ac:dyDescent="0.3">
      <c r="A7" s="59"/>
      <c r="B7" s="60"/>
      <c r="E7" s="19" t="s">
        <v>64</v>
      </c>
      <c r="F7" s="14"/>
      <c r="G7" s="123"/>
      <c r="H7" s="123"/>
      <c r="I7" s="73" t="s">
        <v>71</v>
      </c>
      <c r="J7" s="73"/>
      <c r="K7" s="73"/>
      <c r="L7" s="73"/>
      <c r="M7" s="73"/>
      <c r="N7" s="19"/>
      <c r="P7" s="19"/>
      <c r="Q7" s="126"/>
      <c r="R7" s="126"/>
      <c r="S7" s="14"/>
      <c r="T7" s="14"/>
      <c r="U7" s="59"/>
      <c r="V7" s="112" t="s">
        <v>1008</v>
      </c>
      <c r="W7" s="120">
        <f>kWhSavings_Total</f>
        <v>0</v>
      </c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</row>
    <row r="8" spans="1:36" s="37" customFormat="1" ht="15" customHeight="1" x14ac:dyDescent="0.3">
      <c r="A8" s="59"/>
      <c r="B8" s="60"/>
      <c r="E8" s="19" t="s">
        <v>65</v>
      </c>
      <c r="F8" s="14"/>
      <c r="G8" s="123"/>
      <c r="H8" s="123"/>
      <c r="I8" s="73" t="s">
        <v>72</v>
      </c>
      <c r="J8" s="73"/>
      <c r="K8" s="73"/>
      <c r="L8" s="73"/>
      <c r="M8" s="73"/>
      <c r="N8" s="19"/>
      <c r="P8" s="19"/>
      <c r="Q8" s="126"/>
      <c r="R8" s="126"/>
      <c r="S8" s="14"/>
      <c r="T8" s="14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</row>
    <row r="9" spans="1:36" s="37" customFormat="1" ht="15" customHeight="1" x14ac:dyDescent="0.3">
      <c r="A9" s="59"/>
      <c r="B9" s="60"/>
      <c r="E9" s="73" t="s">
        <v>33</v>
      </c>
      <c r="G9" s="123"/>
      <c r="H9" s="123"/>
      <c r="I9" s="116" t="s">
        <v>73</v>
      </c>
      <c r="J9" s="73"/>
      <c r="K9" s="73"/>
      <c r="L9" s="73"/>
      <c r="M9" s="73"/>
      <c r="N9" s="19"/>
      <c r="P9" s="19"/>
      <c r="Q9" s="126"/>
      <c r="R9" s="126"/>
      <c r="S9" s="14"/>
      <c r="T9" s="14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</row>
    <row r="10" spans="1:36" s="37" customFormat="1" ht="15" customHeight="1" x14ac:dyDescent="0.3">
      <c r="A10" s="59"/>
      <c r="B10" s="60"/>
      <c r="E10" s="73" t="s">
        <v>80</v>
      </c>
      <c r="G10" s="123"/>
      <c r="H10" s="123"/>
      <c r="I10" s="116" t="s">
        <v>77</v>
      </c>
      <c r="J10" s="73"/>
      <c r="K10" s="73"/>
      <c r="L10" s="73"/>
      <c r="M10" s="73"/>
      <c r="N10" s="19"/>
      <c r="P10" s="19"/>
      <c r="Q10" s="124" t="str">
        <f>IF(SUM(Q7:Q9)=0,"",SUM(Q7:Q9))</f>
        <v/>
      </c>
      <c r="R10" s="124"/>
      <c r="S10" s="14"/>
      <c r="T10" s="14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</row>
    <row r="11" spans="1:36" s="37" customFormat="1" ht="8.25" customHeight="1" thickBot="1" x14ac:dyDescent="0.35">
      <c r="A11" s="59"/>
      <c r="B11" s="60"/>
      <c r="C11" s="60"/>
      <c r="E11" s="61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0"/>
      <c r="S11" s="60"/>
      <c r="T11" s="60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</row>
    <row r="12" spans="1:36" s="10" customFormat="1" ht="42.45" customHeight="1" thickBot="1" x14ac:dyDescent="0.35">
      <c r="A12" s="59"/>
      <c r="B12" s="66" t="s">
        <v>44</v>
      </c>
      <c r="C12" s="67" t="s">
        <v>33</v>
      </c>
      <c r="D12" s="68" t="s">
        <v>39</v>
      </c>
      <c r="E12" s="69" t="s">
        <v>34</v>
      </c>
      <c r="F12" s="68" t="s">
        <v>35</v>
      </c>
      <c r="G12" s="67" t="s">
        <v>40</v>
      </c>
      <c r="H12" s="67" t="s">
        <v>74</v>
      </c>
      <c r="I12" s="70" t="s">
        <v>41</v>
      </c>
      <c r="J12" s="70" t="s">
        <v>265</v>
      </c>
      <c r="K12" s="70" t="s">
        <v>266</v>
      </c>
      <c r="L12" s="70" t="s">
        <v>967</v>
      </c>
      <c r="M12" s="70" t="s">
        <v>966</v>
      </c>
      <c r="N12" s="71" t="s">
        <v>36</v>
      </c>
      <c r="O12" s="70" t="s">
        <v>37</v>
      </c>
      <c r="P12" s="72" t="s">
        <v>38</v>
      </c>
      <c r="Q12" s="70" t="s">
        <v>970</v>
      </c>
      <c r="R12" s="70" t="s">
        <v>971</v>
      </c>
      <c r="S12" s="84" t="s">
        <v>75</v>
      </c>
      <c r="T12" s="79" t="s">
        <v>79</v>
      </c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</row>
    <row r="13" spans="1:36" ht="19.95" customHeight="1" x14ac:dyDescent="0.3">
      <c r="A13" s="59"/>
      <c r="B13" s="92">
        <v>1</v>
      </c>
      <c r="C13" s="89" t="str">
        <f t="shared" ref="C13:C47" si="0">IF($G$9="","",$G$9)</f>
        <v/>
      </c>
      <c r="D13" s="89" t="str">
        <f t="shared" ref="D13:D47" si="1">IF($Q$6="", "No", $Q$6)</f>
        <v>No</v>
      </c>
      <c r="E13" s="89"/>
      <c r="F13" s="89"/>
      <c r="G13" s="89"/>
      <c r="H13" s="89"/>
      <c r="I13" s="90" t="str">
        <f t="shared" ref="I13:I47" si="2">IF(E13&lt;&gt;"",IF(ISNUMBER(SEARCH("Exterior",E13)),IF(D13="no", IF(ISNUMBER(SEARCH("Exterior",E13)),E13&amp;" - Band "&amp;P13,E13), "SMBE - Exterior LED - Band "&amp;P13),IF(D13="No", E13, "SMBE - "&amp;E13)),"")</f>
        <v/>
      </c>
      <c r="J13" s="90" t="str">
        <f t="shared" ref="J13" si="3">IF(I13="", "", _xlfn.CONCAT($G$9," ",I13))</f>
        <v/>
      </c>
      <c r="K13" s="90" t="str">
        <f t="shared" ref="K13:K47" si="4">IFERROR(IF(I13="","",VLOOKUP(J13,Measure_Translator, 2,FALSE )),"Not Qualified Measure")</f>
        <v/>
      </c>
      <c r="L13" s="90">
        <f>F13*G13</f>
        <v>0</v>
      </c>
      <c r="M13" s="108" t="str">
        <f t="shared" ref="M13:M47" si="5">IFERROR((TotalCost/TotalProjectWattage)*L13,"")</f>
        <v/>
      </c>
      <c r="N13" s="91" t="str">
        <f>IFERROR(VLOOKUP(K13,'Measure Table'!$D$2:$R$179,8,FALSE),"")</f>
        <v/>
      </c>
      <c r="O13" s="91" t="str">
        <f>IFERROR(VLOOKUP(K13,'Measure Table'!$D$2:$R$179,12,FALSE),"")</f>
        <v/>
      </c>
      <c r="P13" s="90" t="str" cm="1">
        <f t="array" ref="P13">IF(C13&lt;&gt;"",_xlfn.IFS(F13&lt;=2,0,F13&lt;='Dropdown Tables'!$H$13,1,F13&lt;='Dropdown Tables'!$H$14,2,F13&lt;='Dropdown Tables'!$H$15,3,F13&gt;'Dropdown Tables'!$H$15,"| Wattage too high, Use the tool"),"")</f>
        <v/>
      </c>
      <c r="Q13" s="91" t="str">
        <f>IFERROR(VLOOKUP(K13,'Measure Table'!$D$2:$R$179,9, FALSE)*F13*12,"")</f>
        <v/>
      </c>
      <c r="R13" s="90" t="str">
        <f t="shared" ref="R13:R47" si="6">IFERROR(G13*F13*N13,"")</f>
        <v/>
      </c>
      <c r="S13" s="95" t="str">
        <f>IFERROR(IF(T13="", "",IF(SUM($T$13:$T$47)=0, 0, T13 / SUM($T$13:$T$47) * $S$48)),"Enter Project Costs")</f>
        <v/>
      </c>
      <c r="T13" s="80" t="str">
        <f t="shared" ref="T13:T47" si="7">IFERROR(G13*F13*O13,"")</f>
        <v/>
      </c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</row>
    <row r="14" spans="1:36" ht="19.95" customHeight="1" x14ac:dyDescent="0.3">
      <c r="A14" s="59"/>
      <c r="B14" s="93">
        <v>2</v>
      </c>
      <c r="C14" s="54" t="str">
        <f t="shared" si="0"/>
        <v/>
      </c>
      <c r="D14" s="54" t="str">
        <f t="shared" si="1"/>
        <v>No</v>
      </c>
      <c r="E14" s="54"/>
      <c r="F14" s="54"/>
      <c r="G14" s="54"/>
      <c r="H14" s="54"/>
      <c r="I14" s="75" t="str">
        <f t="shared" si="2"/>
        <v/>
      </c>
      <c r="J14" s="90" t="str">
        <f>IF(I14="", "", _xlfn.CONCAT($G$9," ",I14))</f>
        <v/>
      </c>
      <c r="K14" s="90" t="str">
        <f t="shared" si="4"/>
        <v/>
      </c>
      <c r="L14" s="90">
        <f t="shared" ref="L14:L47" si="8">F14*G14</f>
        <v>0</v>
      </c>
      <c r="M14" s="108" t="str">
        <f t="shared" si="5"/>
        <v/>
      </c>
      <c r="N14" s="91" t="str">
        <f>IFERROR(VLOOKUP(K14,'Measure Table'!$D$2:$R$179,8,FALSE),"")</f>
        <v/>
      </c>
      <c r="O14" s="91" t="str">
        <f>IFERROR(VLOOKUP(K14,'Measure Table'!$D$2:$R$179,12,FALSE),"")</f>
        <v/>
      </c>
      <c r="P14" s="90" t="str" cm="1">
        <f t="array" ref="P14">IF(C14&lt;&gt;"",_xlfn.IFS(F14&lt;=2,0,F14&lt;='Dropdown Tables'!$H$13,1,F14&lt;='Dropdown Tables'!$H$14,2,F14&lt;='Dropdown Tables'!$H$15,3,F14&gt;'Dropdown Tables'!$H$15,"| Wattage too high, Use the tool"),"")</f>
        <v/>
      </c>
      <c r="Q14" s="91" t="str">
        <f>IFERROR(VLOOKUP(K14,'Measure Table'!$D$2:$R$179,9, FALSE)*F14*12,"")</f>
        <v/>
      </c>
      <c r="R14" s="75" t="str">
        <f t="shared" si="6"/>
        <v/>
      </c>
      <c r="S14" s="95" t="str">
        <f t="shared" ref="S14:S47" si="9">IFERROR(IF(T14="", "",IF(SUM($T$13:$T$47)=0, 0, T14 / SUM($T$13:$T$47) * $S$48)),"Enter Project Costs")</f>
        <v/>
      </c>
      <c r="T14" s="80" t="str">
        <f t="shared" si="7"/>
        <v/>
      </c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</row>
    <row r="15" spans="1:36" ht="19.95" customHeight="1" x14ac:dyDescent="0.3">
      <c r="A15" s="59"/>
      <c r="B15" s="93">
        <v>3</v>
      </c>
      <c r="C15" s="54" t="str">
        <f t="shared" si="0"/>
        <v/>
      </c>
      <c r="D15" s="54" t="str">
        <f t="shared" si="1"/>
        <v>No</v>
      </c>
      <c r="E15" s="54"/>
      <c r="F15" s="54"/>
      <c r="G15" s="54"/>
      <c r="H15" s="54"/>
      <c r="I15" s="75" t="str">
        <f t="shared" si="2"/>
        <v/>
      </c>
      <c r="J15" s="90" t="str">
        <f>IF(I15="", "", _xlfn.CONCAT($G$9," ",I15))</f>
        <v/>
      </c>
      <c r="K15" s="90" t="str">
        <f t="shared" si="4"/>
        <v/>
      </c>
      <c r="L15" s="90">
        <f t="shared" si="8"/>
        <v>0</v>
      </c>
      <c r="M15" s="108" t="str">
        <f t="shared" si="5"/>
        <v/>
      </c>
      <c r="N15" s="91" t="str">
        <f>IFERROR(VLOOKUP(K15,'Measure Table'!$D$2:$R$179,8,FALSE),"")</f>
        <v/>
      </c>
      <c r="O15" s="91" t="str">
        <f>IFERROR(VLOOKUP(K15,'Measure Table'!$D$2:$R$179,12,FALSE),"")</f>
        <v/>
      </c>
      <c r="P15" s="90" t="str" cm="1">
        <f t="array" ref="P15">IF(C15&lt;&gt;"",_xlfn.IFS(F15&lt;=2,0,F15&lt;='Dropdown Tables'!$H$13,1,F15&lt;='Dropdown Tables'!$H$14,2,F15&lt;='Dropdown Tables'!$H$15,3,F15&gt;'Dropdown Tables'!$H$15,"| Wattage too high, Use the tool"),"")</f>
        <v/>
      </c>
      <c r="Q15" s="91" t="str">
        <f>IFERROR(VLOOKUP(K15,'Measure Table'!$D$2:$R$179,9, FALSE)*F15*12,"")</f>
        <v/>
      </c>
      <c r="R15" s="75" t="str">
        <f t="shared" si="6"/>
        <v/>
      </c>
      <c r="S15" s="95" t="str">
        <f t="shared" si="9"/>
        <v/>
      </c>
      <c r="T15" s="80" t="str">
        <f t="shared" si="7"/>
        <v/>
      </c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</row>
    <row r="16" spans="1:36" ht="19.95" customHeight="1" x14ac:dyDescent="0.3">
      <c r="A16" s="59"/>
      <c r="B16" s="93">
        <v>4</v>
      </c>
      <c r="C16" s="54" t="str">
        <f t="shared" si="0"/>
        <v/>
      </c>
      <c r="D16" s="54" t="str">
        <f t="shared" si="1"/>
        <v>No</v>
      </c>
      <c r="E16" s="54"/>
      <c r="F16" s="54"/>
      <c r="G16" s="54"/>
      <c r="H16" s="54"/>
      <c r="I16" s="75" t="str">
        <f t="shared" si="2"/>
        <v/>
      </c>
      <c r="J16" s="90" t="str">
        <f t="shared" ref="J16:J47" si="10">IF(I16="", "", _xlfn.CONCAT($G$9," ",I16))</f>
        <v/>
      </c>
      <c r="K16" s="90" t="str">
        <f t="shared" si="4"/>
        <v/>
      </c>
      <c r="L16" s="90">
        <f t="shared" si="8"/>
        <v>0</v>
      </c>
      <c r="M16" s="108" t="str">
        <f t="shared" si="5"/>
        <v/>
      </c>
      <c r="N16" s="91" t="str">
        <f>IFERROR(VLOOKUP(K16,'Measure Table'!$D$2:$R$179,8,FALSE),"")</f>
        <v/>
      </c>
      <c r="O16" s="91" t="str">
        <f>IFERROR(VLOOKUP(K16,'Measure Table'!$D$2:$R$179,12,FALSE),"")</f>
        <v/>
      </c>
      <c r="P16" s="90" t="str" cm="1">
        <f t="array" ref="P16">IF(C16&lt;&gt;"",_xlfn.IFS(F16&lt;=2,0,F16&lt;='Dropdown Tables'!$H$13,1,F16&lt;='Dropdown Tables'!$H$14,2,F16&lt;='Dropdown Tables'!$H$15,3,F16&gt;'Dropdown Tables'!$H$15,"| Wattage too high, Use the tool"),"")</f>
        <v/>
      </c>
      <c r="Q16" s="91" t="str">
        <f>IFERROR(VLOOKUP(K16,'Measure Table'!$D$2:$R$179,9, FALSE)*F16*12,"")</f>
        <v/>
      </c>
      <c r="R16" s="75" t="str">
        <f t="shared" si="6"/>
        <v/>
      </c>
      <c r="S16" s="95" t="str">
        <f t="shared" si="9"/>
        <v/>
      </c>
      <c r="T16" s="80" t="str">
        <f t="shared" si="7"/>
        <v/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</row>
    <row r="17" spans="1:36" ht="19.95" customHeight="1" x14ac:dyDescent="0.3">
      <c r="A17" s="59"/>
      <c r="B17" s="93">
        <v>5</v>
      </c>
      <c r="C17" s="54" t="str">
        <f t="shared" si="0"/>
        <v/>
      </c>
      <c r="D17" s="54" t="str">
        <f t="shared" si="1"/>
        <v>No</v>
      </c>
      <c r="E17" s="54"/>
      <c r="F17" s="54"/>
      <c r="G17" s="54"/>
      <c r="H17" s="54"/>
      <c r="I17" s="75" t="str">
        <f t="shared" si="2"/>
        <v/>
      </c>
      <c r="J17" s="90" t="str">
        <f t="shared" si="10"/>
        <v/>
      </c>
      <c r="K17" s="90" t="str">
        <f t="shared" si="4"/>
        <v/>
      </c>
      <c r="L17" s="90">
        <f t="shared" si="8"/>
        <v>0</v>
      </c>
      <c r="M17" s="108" t="str">
        <f t="shared" si="5"/>
        <v/>
      </c>
      <c r="N17" s="91" t="str">
        <f>IFERROR(VLOOKUP(K17,'Measure Table'!$D$2:$R$179,8,FALSE),"")</f>
        <v/>
      </c>
      <c r="O17" s="91" t="str">
        <f>IFERROR(VLOOKUP(K17,'Measure Table'!$D$2:$R$179,12,FALSE),"")</f>
        <v/>
      </c>
      <c r="P17" s="90" t="str" cm="1">
        <f t="array" ref="P17">IF(C17&lt;&gt;"",_xlfn.IFS(F17&lt;=2,0,F17&lt;='Dropdown Tables'!$H$13,1,F17&lt;='Dropdown Tables'!$H$14,2,F17&lt;='Dropdown Tables'!$H$15,3,F17&gt;'Dropdown Tables'!$H$15,"| Wattage too high, Use the tool"),"")</f>
        <v/>
      </c>
      <c r="Q17" s="91" t="str">
        <f>IFERROR(VLOOKUP(K17,'Measure Table'!$D$2:$R$179,9, FALSE)*F17*12,"")</f>
        <v/>
      </c>
      <c r="R17" s="75" t="str">
        <f t="shared" si="6"/>
        <v/>
      </c>
      <c r="S17" s="95" t="str">
        <f t="shared" si="9"/>
        <v/>
      </c>
      <c r="T17" s="80" t="str">
        <f t="shared" si="7"/>
        <v/>
      </c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</row>
    <row r="18" spans="1:36" ht="19.95" customHeight="1" x14ac:dyDescent="0.3">
      <c r="A18" s="59"/>
      <c r="B18" s="93">
        <v>6</v>
      </c>
      <c r="C18" s="54" t="str">
        <f t="shared" si="0"/>
        <v/>
      </c>
      <c r="D18" s="54" t="str">
        <f t="shared" si="1"/>
        <v>No</v>
      </c>
      <c r="E18" s="54"/>
      <c r="F18" s="54"/>
      <c r="G18" s="54"/>
      <c r="H18" s="54"/>
      <c r="I18" s="75" t="str">
        <f t="shared" si="2"/>
        <v/>
      </c>
      <c r="J18" s="90" t="str">
        <f t="shared" si="10"/>
        <v/>
      </c>
      <c r="K18" s="90" t="str">
        <f t="shared" si="4"/>
        <v/>
      </c>
      <c r="L18" s="90">
        <f t="shared" si="8"/>
        <v>0</v>
      </c>
      <c r="M18" s="108" t="str">
        <f t="shared" si="5"/>
        <v/>
      </c>
      <c r="N18" s="91" t="str">
        <f>IFERROR(VLOOKUP(K18,'Measure Table'!$D$2:$R$179,8,FALSE),"")</f>
        <v/>
      </c>
      <c r="O18" s="91" t="str">
        <f>IFERROR(VLOOKUP(K18,'Measure Table'!$D$2:$R$179,12,FALSE),"")</f>
        <v/>
      </c>
      <c r="P18" s="90" t="str" cm="1">
        <f t="array" ref="P18">IF(C18&lt;&gt;"",_xlfn.IFS(F18&lt;=2,0,F18&lt;='Dropdown Tables'!$H$13,1,F18&lt;='Dropdown Tables'!$H$14,2,F18&lt;='Dropdown Tables'!$H$15,3,F18&gt;'Dropdown Tables'!$H$15,"| Wattage too high, Use the tool"),"")</f>
        <v/>
      </c>
      <c r="Q18" s="91" t="str">
        <f>IFERROR(VLOOKUP(K18,'Measure Table'!$D$2:$R$179,9, FALSE)*F18*12,"")</f>
        <v/>
      </c>
      <c r="R18" s="75" t="str">
        <f t="shared" si="6"/>
        <v/>
      </c>
      <c r="S18" s="95" t="str">
        <f t="shared" si="9"/>
        <v/>
      </c>
      <c r="T18" s="80" t="str">
        <f t="shared" si="7"/>
        <v/>
      </c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</row>
    <row r="19" spans="1:36" ht="19.95" customHeight="1" x14ac:dyDescent="0.3">
      <c r="A19" s="59"/>
      <c r="B19" s="93">
        <v>7</v>
      </c>
      <c r="C19" s="54" t="str">
        <f t="shared" si="0"/>
        <v/>
      </c>
      <c r="D19" s="54" t="str">
        <f t="shared" si="1"/>
        <v>No</v>
      </c>
      <c r="E19" s="54"/>
      <c r="F19" s="54"/>
      <c r="G19" s="54"/>
      <c r="H19" s="54"/>
      <c r="I19" s="75" t="str">
        <f t="shared" si="2"/>
        <v/>
      </c>
      <c r="J19" s="90" t="str">
        <f t="shared" si="10"/>
        <v/>
      </c>
      <c r="K19" s="90" t="str">
        <f t="shared" si="4"/>
        <v/>
      </c>
      <c r="L19" s="90">
        <f t="shared" si="8"/>
        <v>0</v>
      </c>
      <c r="M19" s="108" t="str">
        <f t="shared" si="5"/>
        <v/>
      </c>
      <c r="N19" s="91" t="str">
        <f>IFERROR(VLOOKUP(K19,'Measure Table'!$D$2:$R$179,8,FALSE),"")</f>
        <v/>
      </c>
      <c r="O19" s="91" t="str">
        <f>IFERROR(VLOOKUP(K19,'Measure Table'!$D$2:$R$179,12,FALSE),"")</f>
        <v/>
      </c>
      <c r="P19" s="90" t="str" cm="1">
        <f t="array" ref="P19">IF(C19&lt;&gt;"",_xlfn.IFS(F19&lt;=2,0,F19&lt;='Dropdown Tables'!$H$13,1,F19&lt;='Dropdown Tables'!$H$14,2,F19&lt;='Dropdown Tables'!$H$15,3,F19&gt;'Dropdown Tables'!$H$15,"| Wattage too high, Use the tool"),"")</f>
        <v/>
      </c>
      <c r="Q19" s="91" t="str">
        <f>IFERROR(VLOOKUP(K19,'Measure Table'!$D$2:$R$179,9, FALSE)*F19*12,"")</f>
        <v/>
      </c>
      <c r="R19" s="75" t="str">
        <f t="shared" si="6"/>
        <v/>
      </c>
      <c r="S19" s="95" t="str">
        <f t="shared" si="9"/>
        <v/>
      </c>
      <c r="T19" s="80" t="str">
        <f t="shared" si="7"/>
        <v/>
      </c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</row>
    <row r="20" spans="1:36" ht="19.95" customHeight="1" x14ac:dyDescent="0.3">
      <c r="A20" s="59"/>
      <c r="B20" s="93">
        <v>8</v>
      </c>
      <c r="C20" s="54" t="str">
        <f t="shared" si="0"/>
        <v/>
      </c>
      <c r="D20" s="54" t="str">
        <f t="shared" si="1"/>
        <v>No</v>
      </c>
      <c r="E20" s="54"/>
      <c r="F20" s="54"/>
      <c r="G20" s="85"/>
      <c r="H20" s="85"/>
      <c r="I20" s="75" t="str">
        <f t="shared" si="2"/>
        <v/>
      </c>
      <c r="J20" s="90" t="str">
        <f t="shared" si="10"/>
        <v/>
      </c>
      <c r="K20" s="90" t="str">
        <f t="shared" si="4"/>
        <v/>
      </c>
      <c r="L20" s="90">
        <f t="shared" si="8"/>
        <v>0</v>
      </c>
      <c r="M20" s="108" t="str">
        <f t="shared" si="5"/>
        <v/>
      </c>
      <c r="N20" s="91" t="str">
        <f>IFERROR(VLOOKUP(K20,'Measure Table'!$D$2:$R$179,8,FALSE),"")</f>
        <v/>
      </c>
      <c r="O20" s="91" t="str">
        <f>IFERROR(VLOOKUP(K20,'Measure Table'!$D$2:$R$179,12,FALSE),"")</f>
        <v/>
      </c>
      <c r="P20" s="90" t="str" cm="1">
        <f t="array" ref="P20">IF(C20&lt;&gt;"",_xlfn.IFS(F20&lt;=2,0,F20&lt;='Dropdown Tables'!$H$13,1,F20&lt;='Dropdown Tables'!$H$14,2,F20&lt;='Dropdown Tables'!$H$15,3,F20&gt;'Dropdown Tables'!$H$15,"| Wattage too high, Use the tool"),"")</f>
        <v/>
      </c>
      <c r="Q20" s="91" t="str">
        <f>IFERROR(VLOOKUP(K20,'Measure Table'!$D$2:$R$179,9, FALSE)*F20*12,"")</f>
        <v/>
      </c>
      <c r="R20" s="75" t="str">
        <f t="shared" si="6"/>
        <v/>
      </c>
      <c r="S20" s="95" t="str">
        <f t="shared" si="9"/>
        <v/>
      </c>
      <c r="T20" s="80" t="str">
        <f t="shared" si="7"/>
        <v/>
      </c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</row>
    <row r="21" spans="1:36" ht="19.95" customHeight="1" x14ac:dyDescent="0.3">
      <c r="A21" s="59"/>
      <c r="B21" s="93">
        <v>9</v>
      </c>
      <c r="C21" s="54" t="str">
        <f t="shared" si="0"/>
        <v/>
      </c>
      <c r="D21" s="54" t="str">
        <f t="shared" si="1"/>
        <v>No</v>
      </c>
      <c r="E21" s="54"/>
      <c r="F21" s="54"/>
      <c r="G21" s="54"/>
      <c r="H21" s="54"/>
      <c r="I21" s="75" t="str">
        <f t="shared" si="2"/>
        <v/>
      </c>
      <c r="J21" s="90" t="str">
        <f t="shared" si="10"/>
        <v/>
      </c>
      <c r="K21" s="90" t="str">
        <f t="shared" si="4"/>
        <v/>
      </c>
      <c r="L21" s="90">
        <f t="shared" si="8"/>
        <v>0</v>
      </c>
      <c r="M21" s="108" t="str">
        <f t="shared" si="5"/>
        <v/>
      </c>
      <c r="N21" s="91" t="str">
        <f>IFERROR(VLOOKUP(K21,'Measure Table'!$D$2:$R$179,8,FALSE),"")</f>
        <v/>
      </c>
      <c r="O21" s="91" t="str">
        <f>IFERROR(VLOOKUP(K21,'Measure Table'!$D$2:$R$179,12,FALSE),"")</f>
        <v/>
      </c>
      <c r="P21" s="90" t="str" cm="1">
        <f t="array" ref="P21">IF(C21&lt;&gt;"",_xlfn.IFS(F21&lt;=2,0,F21&lt;='Dropdown Tables'!$H$13,1,F21&lt;='Dropdown Tables'!$H$14,2,F21&lt;='Dropdown Tables'!$H$15,3,F21&gt;'Dropdown Tables'!$H$15,"| Wattage too high, Use the tool"),"")</f>
        <v/>
      </c>
      <c r="Q21" s="91" t="str">
        <f>IFERROR(VLOOKUP(K21,'Measure Table'!$D$2:$R$179,9, FALSE)*F21*12,"")</f>
        <v/>
      </c>
      <c r="R21" s="75" t="str">
        <f t="shared" si="6"/>
        <v/>
      </c>
      <c r="S21" s="95" t="str">
        <f t="shared" si="9"/>
        <v/>
      </c>
      <c r="T21" s="80" t="str">
        <f t="shared" si="7"/>
        <v/>
      </c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</row>
    <row r="22" spans="1:36" ht="19.95" customHeight="1" x14ac:dyDescent="0.3">
      <c r="A22" s="59"/>
      <c r="B22" s="93">
        <v>10</v>
      </c>
      <c r="C22" s="54" t="str">
        <f t="shared" si="0"/>
        <v/>
      </c>
      <c r="D22" s="54" t="str">
        <f t="shared" si="1"/>
        <v>No</v>
      </c>
      <c r="E22" s="54"/>
      <c r="F22" s="54"/>
      <c r="G22" s="54"/>
      <c r="H22" s="54"/>
      <c r="I22" s="75" t="str">
        <f t="shared" si="2"/>
        <v/>
      </c>
      <c r="J22" s="90" t="str">
        <f t="shared" si="10"/>
        <v/>
      </c>
      <c r="K22" s="90" t="str">
        <f t="shared" si="4"/>
        <v/>
      </c>
      <c r="L22" s="90">
        <f t="shared" si="8"/>
        <v>0</v>
      </c>
      <c r="M22" s="108" t="str">
        <f t="shared" si="5"/>
        <v/>
      </c>
      <c r="N22" s="91" t="str">
        <f>IFERROR(VLOOKUP(K22,'Measure Table'!$D$2:$R$179,8,FALSE),"")</f>
        <v/>
      </c>
      <c r="O22" s="91" t="str">
        <f>IFERROR(VLOOKUP(K22,'Measure Table'!$D$2:$R$179,12,FALSE),"")</f>
        <v/>
      </c>
      <c r="P22" s="90" t="str" cm="1">
        <f t="array" ref="P22">IF(C22&lt;&gt;"",_xlfn.IFS(F22&lt;=2,0,F22&lt;='Dropdown Tables'!$H$13,1,F22&lt;='Dropdown Tables'!$H$14,2,F22&lt;='Dropdown Tables'!$H$15,3,F22&gt;'Dropdown Tables'!$H$15,"| Wattage too high, Use the tool"),"")</f>
        <v/>
      </c>
      <c r="Q22" s="91" t="str">
        <f>IFERROR(VLOOKUP(K22,'Measure Table'!$D$2:$R$179,9, FALSE)*F22*12,"")</f>
        <v/>
      </c>
      <c r="R22" s="75" t="str">
        <f t="shared" si="6"/>
        <v/>
      </c>
      <c r="S22" s="95" t="str">
        <f t="shared" si="9"/>
        <v/>
      </c>
      <c r="T22" s="80" t="str">
        <f t="shared" si="7"/>
        <v/>
      </c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</row>
    <row r="23" spans="1:36" ht="19.95" customHeight="1" x14ac:dyDescent="0.3">
      <c r="A23" s="59"/>
      <c r="B23" s="93">
        <v>11</v>
      </c>
      <c r="C23" s="54" t="str">
        <f t="shared" si="0"/>
        <v/>
      </c>
      <c r="D23" s="54" t="str">
        <f t="shared" si="1"/>
        <v>No</v>
      </c>
      <c r="E23" s="54"/>
      <c r="F23" s="54"/>
      <c r="G23" s="54"/>
      <c r="H23" s="54"/>
      <c r="I23" s="75" t="str">
        <f t="shared" si="2"/>
        <v/>
      </c>
      <c r="J23" s="90" t="str">
        <f t="shared" si="10"/>
        <v/>
      </c>
      <c r="K23" s="90" t="str">
        <f t="shared" si="4"/>
        <v/>
      </c>
      <c r="L23" s="90">
        <f t="shared" si="8"/>
        <v>0</v>
      </c>
      <c r="M23" s="108" t="str">
        <f t="shared" si="5"/>
        <v/>
      </c>
      <c r="N23" s="91" t="str">
        <f>IFERROR(VLOOKUP(K23,'Measure Table'!$D$2:$R$179,8,FALSE),"")</f>
        <v/>
      </c>
      <c r="O23" s="91" t="str">
        <f>IFERROR(VLOOKUP(K23,'Measure Table'!$D$2:$R$179,12,FALSE),"")</f>
        <v/>
      </c>
      <c r="P23" s="90" t="str" cm="1">
        <f t="array" ref="P23">IF(C23&lt;&gt;"",_xlfn.IFS(F23&lt;=2,0,F23&lt;='Dropdown Tables'!$H$13,1,F23&lt;='Dropdown Tables'!$H$14,2,F23&lt;='Dropdown Tables'!$H$15,3,F23&gt;'Dropdown Tables'!$H$15,"| Wattage too high, Use the tool"),"")</f>
        <v/>
      </c>
      <c r="Q23" s="91" t="str">
        <f>IFERROR(VLOOKUP(K23,'Measure Table'!$D$2:$R$179,9, FALSE)*F23*12,"")</f>
        <v/>
      </c>
      <c r="R23" s="75" t="str">
        <f t="shared" si="6"/>
        <v/>
      </c>
      <c r="S23" s="95" t="str">
        <f t="shared" si="9"/>
        <v/>
      </c>
      <c r="T23" s="80" t="str">
        <f t="shared" si="7"/>
        <v/>
      </c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</row>
    <row r="24" spans="1:36" ht="19.95" customHeight="1" x14ac:dyDescent="0.3">
      <c r="A24" s="59"/>
      <c r="B24" s="93">
        <v>12</v>
      </c>
      <c r="C24" s="54" t="str">
        <f t="shared" si="0"/>
        <v/>
      </c>
      <c r="D24" s="54" t="str">
        <f t="shared" si="1"/>
        <v>No</v>
      </c>
      <c r="E24" s="54"/>
      <c r="F24" s="54"/>
      <c r="G24" s="54"/>
      <c r="H24" s="54"/>
      <c r="I24" s="75" t="str">
        <f t="shared" si="2"/>
        <v/>
      </c>
      <c r="J24" s="90" t="str">
        <f t="shared" si="10"/>
        <v/>
      </c>
      <c r="K24" s="90" t="str">
        <f t="shared" si="4"/>
        <v/>
      </c>
      <c r="L24" s="90">
        <f t="shared" si="8"/>
        <v>0</v>
      </c>
      <c r="M24" s="108" t="str">
        <f t="shared" si="5"/>
        <v/>
      </c>
      <c r="N24" s="91" t="str">
        <f>IFERROR(VLOOKUP(K24,'Measure Table'!$D$2:$R$179,8,FALSE),"")</f>
        <v/>
      </c>
      <c r="O24" s="91" t="str">
        <f>IFERROR(VLOOKUP(K24,'Measure Table'!$D$2:$R$179,12,FALSE),"")</f>
        <v/>
      </c>
      <c r="P24" s="90" t="str" cm="1">
        <f t="array" ref="P24">IF(C24&lt;&gt;"",_xlfn.IFS(F24&lt;=2,0,F24&lt;='Dropdown Tables'!$H$13,1,F24&lt;='Dropdown Tables'!$H$14,2,F24&lt;='Dropdown Tables'!$H$15,3,F24&gt;'Dropdown Tables'!$H$15,"| Wattage too high, Use the tool"),"")</f>
        <v/>
      </c>
      <c r="Q24" s="91" t="str">
        <f>IFERROR(VLOOKUP(K24,'Measure Table'!$D$2:$R$179,9, FALSE)*F24*12,"")</f>
        <v/>
      </c>
      <c r="R24" s="75" t="str">
        <f t="shared" si="6"/>
        <v/>
      </c>
      <c r="S24" s="95" t="str">
        <f t="shared" si="9"/>
        <v/>
      </c>
      <c r="T24" s="80" t="str">
        <f t="shared" si="7"/>
        <v/>
      </c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</row>
    <row r="25" spans="1:36" ht="19.95" customHeight="1" x14ac:dyDescent="0.3">
      <c r="A25" s="59"/>
      <c r="B25" s="93">
        <v>13</v>
      </c>
      <c r="C25" s="54" t="str">
        <f t="shared" si="0"/>
        <v/>
      </c>
      <c r="D25" s="54" t="str">
        <f t="shared" si="1"/>
        <v>No</v>
      </c>
      <c r="E25" s="54"/>
      <c r="F25" s="54"/>
      <c r="G25" s="54"/>
      <c r="H25" s="54"/>
      <c r="I25" s="75" t="str">
        <f t="shared" si="2"/>
        <v/>
      </c>
      <c r="J25" s="90" t="str">
        <f t="shared" si="10"/>
        <v/>
      </c>
      <c r="K25" s="90" t="str">
        <f t="shared" si="4"/>
        <v/>
      </c>
      <c r="L25" s="90">
        <f t="shared" si="8"/>
        <v>0</v>
      </c>
      <c r="M25" s="108" t="str">
        <f t="shared" si="5"/>
        <v/>
      </c>
      <c r="N25" s="91" t="str">
        <f>IFERROR(VLOOKUP(K25,'Measure Table'!$D$2:$R$179,8,FALSE),"")</f>
        <v/>
      </c>
      <c r="O25" s="91" t="str">
        <f>IFERROR(VLOOKUP(K25,'Measure Table'!$D$2:$R$179,12,FALSE),"")</f>
        <v/>
      </c>
      <c r="P25" s="90" t="str" cm="1">
        <f t="array" ref="P25">IF(C25&lt;&gt;"",_xlfn.IFS(F25&lt;=2,0,F25&lt;='Dropdown Tables'!$H$13,1,F25&lt;='Dropdown Tables'!$H$14,2,F25&lt;='Dropdown Tables'!$H$15,3,F25&gt;'Dropdown Tables'!$H$15,"| Wattage too high, Use the tool"),"")</f>
        <v/>
      </c>
      <c r="Q25" s="91" t="str">
        <f>IFERROR(VLOOKUP(K25,'Measure Table'!$D$2:$R$179,9, FALSE)*F25*12,"")</f>
        <v/>
      </c>
      <c r="R25" s="75" t="str">
        <f t="shared" si="6"/>
        <v/>
      </c>
      <c r="S25" s="95" t="str">
        <f t="shared" si="9"/>
        <v/>
      </c>
      <c r="T25" s="80" t="str">
        <f t="shared" si="7"/>
        <v/>
      </c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</row>
    <row r="26" spans="1:36" ht="19.95" customHeight="1" x14ac:dyDescent="0.3">
      <c r="A26" s="59"/>
      <c r="B26" s="93">
        <v>14</v>
      </c>
      <c r="C26" s="54" t="str">
        <f t="shared" si="0"/>
        <v/>
      </c>
      <c r="D26" s="54" t="str">
        <f t="shared" si="1"/>
        <v>No</v>
      </c>
      <c r="E26" s="54"/>
      <c r="F26" s="54"/>
      <c r="G26" s="54"/>
      <c r="H26" s="54"/>
      <c r="I26" s="75" t="str">
        <f t="shared" si="2"/>
        <v/>
      </c>
      <c r="J26" s="90" t="str">
        <f t="shared" si="10"/>
        <v/>
      </c>
      <c r="K26" s="90" t="str">
        <f t="shared" si="4"/>
        <v/>
      </c>
      <c r="L26" s="90">
        <f t="shared" si="8"/>
        <v>0</v>
      </c>
      <c r="M26" s="108" t="str">
        <f t="shared" si="5"/>
        <v/>
      </c>
      <c r="N26" s="91" t="str">
        <f>IFERROR(VLOOKUP(K26,'Measure Table'!$D$2:$R$179,8,FALSE),"")</f>
        <v/>
      </c>
      <c r="O26" s="91" t="str">
        <f>IFERROR(VLOOKUP(K26,'Measure Table'!$D$2:$R$179,12,FALSE),"")</f>
        <v/>
      </c>
      <c r="P26" s="90" t="str" cm="1">
        <f t="array" ref="P26">IF(C26&lt;&gt;"",_xlfn.IFS(F26&lt;=2,0,F26&lt;='Dropdown Tables'!$H$13,1,F26&lt;='Dropdown Tables'!$H$14,2,F26&lt;='Dropdown Tables'!$H$15,3,F26&gt;'Dropdown Tables'!$H$15,"| Wattage too high, Use the tool"),"")</f>
        <v/>
      </c>
      <c r="Q26" s="91" t="str">
        <f>IFERROR(VLOOKUP(K26,'Measure Table'!$D$2:$R$179,9, FALSE)*F26*12,"")</f>
        <v/>
      </c>
      <c r="R26" s="75" t="str">
        <f t="shared" si="6"/>
        <v/>
      </c>
      <c r="S26" s="95" t="str">
        <f t="shared" si="9"/>
        <v/>
      </c>
      <c r="T26" s="80" t="str">
        <f t="shared" si="7"/>
        <v/>
      </c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</row>
    <row r="27" spans="1:36" ht="19.95" customHeight="1" x14ac:dyDescent="0.3">
      <c r="A27" s="59"/>
      <c r="B27" s="93">
        <v>15</v>
      </c>
      <c r="C27" s="54" t="str">
        <f t="shared" si="0"/>
        <v/>
      </c>
      <c r="D27" s="54" t="str">
        <f t="shared" si="1"/>
        <v>No</v>
      </c>
      <c r="E27" s="54"/>
      <c r="F27" s="54"/>
      <c r="G27" s="54"/>
      <c r="H27" s="54"/>
      <c r="I27" s="75" t="str">
        <f t="shared" si="2"/>
        <v/>
      </c>
      <c r="J27" s="90" t="str">
        <f t="shared" si="10"/>
        <v/>
      </c>
      <c r="K27" s="90" t="str">
        <f t="shared" si="4"/>
        <v/>
      </c>
      <c r="L27" s="90">
        <f t="shared" si="8"/>
        <v>0</v>
      </c>
      <c r="M27" s="108" t="str">
        <f t="shared" si="5"/>
        <v/>
      </c>
      <c r="N27" s="91" t="str">
        <f>IFERROR(VLOOKUP(K27,'Measure Table'!$D$2:$R$179,8,FALSE),"")</f>
        <v/>
      </c>
      <c r="O27" s="91" t="str">
        <f>IFERROR(VLOOKUP(K27,'Measure Table'!$D$2:$R$179,12,FALSE),"")</f>
        <v/>
      </c>
      <c r="P27" s="90" t="str" cm="1">
        <f t="array" ref="P27">IF(C27&lt;&gt;"",_xlfn.IFS(F27&lt;=2,0,F27&lt;='Dropdown Tables'!$H$13,1,F27&lt;='Dropdown Tables'!$H$14,2,F27&lt;='Dropdown Tables'!$H$15,3,F27&gt;'Dropdown Tables'!$H$15,"| Wattage too high, Use the tool"),"")</f>
        <v/>
      </c>
      <c r="Q27" s="91" t="str">
        <f>IFERROR(VLOOKUP(K27,'Measure Table'!$D$2:$R$179,9, FALSE)*F27*12,"")</f>
        <v/>
      </c>
      <c r="R27" s="75" t="str">
        <f t="shared" si="6"/>
        <v/>
      </c>
      <c r="S27" s="95" t="str">
        <f t="shared" si="9"/>
        <v/>
      </c>
      <c r="T27" s="80" t="str">
        <f t="shared" si="7"/>
        <v/>
      </c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</row>
    <row r="28" spans="1:36" ht="19.95" customHeight="1" x14ac:dyDescent="0.3">
      <c r="A28" s="59"/>
      <c r="B28" s="93">
        <v>16</v>
      </c>
      <c r="C28" s="54" t="str">
        <f t="shared" si="0"/>
        <v/>
      </c>
      <c r="D28" s="54" t="str">
        <f t="shared" si="1"/>
        <v>No</v>
      </c>
      <c r="E28" s="54"/>
      <c r="F28" s="54"/>
      <c r="G28" s="54"/>
      <c r="H28" s="54"/>
      <c r="I28" s="75" t="str">
        <f t="shared" si="2"/>
        <v/>
      </c>
      <c r="J28" s="90" t="str">
        <f t="shared" si="10"/>
        <v/>
      </c>
      <c r="K28" s="90" t="str">
        <f t="shared" si="4"/>
        <v/>
      </c>
      <c r="L28" s="90">
        <f t="shared" si="8"/>
        <v>0</v>
      </c>
      <c r="M28" s="108" t="str">
        <f t="shared" si="5"/>
        <v/>
      </c>
      <c r="N28" s="91" t="str">
        <f>IFERROR(VLOOKUP(K28,'Measure Table'!$D$2:$R$179,8,FALSE),"")</f>
        <v/>
      </c>
      <c r="O28" s="91" t="str">
        <f>IFERROR(VLOOKUP(K28,'Measure Table'!$D$2:$R$179,12,FALSE),"")</f>
        <v/>
      </c>
      <c r="P28" s="90" t="str" cm="1">
        <f t="array" ref="P28">IF(C28&lt;&gt;"",_xlfn.IFS(F28&lt;=2,0,F28&lt;='Dropdown Tables'!$H$13,1,F28&lt;='Dropdown Tables'!$H$14,2,F28&lt;='Dropdown Tables'!$H$15,3,F28&gt;'Dropdown Tables'!$H$15,"| Wattage too high, Use the tool"),"")</f>
        <v/>
      </c>
      <c r="Q28" s="91" t="str">
        <f>IFERROR(VLOOKUP(K28,'Measure Table'!$D$2:$R$179,9, FALSE)*F28*12,"")</f>
        <v/>
      </c>
      <c r="R28" s="75" t="str">
        <f t="shared" si="6"/>
        <v/>
      </c>
      <c r="S28" s="95" t="str">
        <f t="shared" si="9"/>
        <v/>
      </c>
      <c r="T28" s="80" t="str">
        <f t="shared" si="7"/>
        <v/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</row>
    <row r="29" spans="1:36" ht="19.95" customHeight="1" x14ac:dyDescent="0.3">
      <c r="A29" s="59"/>
      <c r="B29" s="93">
        <v>17</v>
      </c>
      <c r="C29" s="54" t="str">
        <f t="shared" si="0"/>
        <v/>
      </c>
      <c r="D29" s="54" t="str">
        <f t="shared" si="1"/>
        <v>No</v>
      </c>
      <c r="E29" s="54"/>
      <c r="F29" s="54"/>
      <c r="G29" s="54"/>
      <c r="H29" s="54"/>
      <c r="I29" s="75" t="str">
        <f t="shared" si="2"/>
        <v/>
      </c>
      <c r="J29" s="90" t="str">
        <f t="shared" si="10"/>
        <v/>
      </c>
      <c r="K29" s="90" t="str">
        <f t="shared" si="4"/>
        <v/>
      </c>
      <c r="L29" s="90">
        <f t="shared" si="8"/>
        <v>0</v>
      </c>
      <c r="M29" s="108" t="str">
        <f t="shared" si="5"/>
        <v/>
      </c>
      <c r="N29" s="91" t="str">
        <f>IFERROR(VLOOKUP(K29,'Measure Table'!$D$2:$R$179,8,FALSE),"")</f>
        <v/>
      </c>
      <c r="O29" s="91" t="str">
        <f>IFERROR(VLOOKUP(K29,'Measure Table'!$D$2:$R$179,12,FALSE),"")</f>
        <v/>
      </c>
      <c r="P29" s="90" t="str" cm="1">
        <f t="array" ref="P29">IF(C29&lt;&gt;"",_xlfn.IFS(F29&lt;=2,0,F29&lt;='Dropdown Tables'!$H$13,1,F29&lt;='Dropdown Tables'!$H$14,2,F29&lt;='Dropdown Tables'!$H$15,3,F29&gt;'Dropdown Tables'!$H$15,"| Wattage too high, Use the tool"),"")</f>
        <v/>
      </c>
      <c r="Q29" s="91" t="str">
        <f>IFERROR(VLOOKUP(K29,'Measure Table'!$D$2:$R$179,9, FALSE)*F29*12,"")</f>
        <v/>
      </c>
      <c r="R29" s="75" t="str">
        <f t="shared" si="6"/>
        <v/>
      </c>
      <c r="S29" s="95" t="str">
        <f t="shared" si="9"/>
        <v/>
      </c>
      <c r="T29" s="80" t="str">
        <f t="shared" si="7"/>
        <v/>
      </c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</row>
    <row r="30" spans="1:36" ht="19.95" customHeight="1" x14ac:dyDescent="0.3">
      <c r="A30" s="59"/>
      <c r="B30" s="93">
        <v>18</v>
      </c>
      <c r="C30" s="54" t="str">
        <f t="shared" si="0"/>
        <v/>
      </c>
      <c r="D30" s="54" t="str">
        <f t="shared" si="1"/>
        <v>No</v>
      </c>
      <c r="E30" s="54"/>
      <c r="F30" s="54"/>
      <c r="G30" s="54"/>
      <c r="H30" s="54"/>
      <c r="I30" s="75" t="str">
        <f t="shared" si="2"/>
        <v/>
      </c>
      <c r="J30" s="90" t="str">
        <f t="shared" si="10"/>
        <v/>
      </c>
      <c r="K30" s="90" t="str">
        <f t="shared" si="4"/>
        <v/>
      </c>
      <c r="L30" s="90">
        <f t="shared" si="8"/>
        <v>0</v>
      </c>
      <c r="M30" s="108" t="str">
        <f t="shared" si="5"/>
        <v/>
      </c>
      <c r="N30" s="91" t="str">
        <f>IFERROR(VLOOKUP(K30,'Measure Table'!$D$2:$R$179,8,FALSE),"")</f>
        <v/>
      </c>
      <c r="O30" s="91" t="str">
        <f>IFERROR(VLOOKUP(K30,'Measure Table'!$D$2:$R$179,12,FALSE),"")</f>
        <v/>
      </c>
      <c r="P30" s="90" t="str" cm="1">
        <f t="array" ref="P30">IF(C30&lt;&gt;"",_xlfn.IFS(F30&lt;=2,0,F30&lt;='Dropdown Tables'!$H$13,1,F30&lt;='Dropdown Tables'!$H$14,2,F30&lt;='Dropdown Tables'!$H$15,3,F30&gt;'Dropdown Tables'!$H$15,"| Wattage too high, Use the tool"),"")</f>
        <v/>
      </c>
      <c r="Q30" s="91" t="str">
        <f>IFERROR(VLOOKUP(K30,'Measure Table'!$D$2:$R$179,9, FALSE)*F30*12,"")</f>
        <v/>
      </c>
      <c r="R30" s="75" t="str">
        <f t="shared" si="6"/>
        <v/>
      </c>
      <c r="S30" s="95" t="str">
        <f t="shared" si="9"/>
        <v/>
      </c>
      <c r="T30" s="80" t="str">
        <f t="shared" si="7"/>
        <v/>
      </c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</row>
    <row r="31" spans="1:36" ht="19.95" customHeight="1" x14ac:dyDescent="0.3">
      <c r="A31" s="59"/>
      <c r="B31" s="93">
        <v>19</v>
      </c>
      <c r="C31" s="54" t="str">
        <f t="shared" si="0"/>
        <v/>
      </c>
      <c r="D31" s="54" t="str">
        <f t="shared" si="1"/>
        <v>No</v>
      </c>
      <c r="E31" s="54"/>
      <c r="F31" s="54"/>
      <c r="G31" s="54"/>
      <c r="H31" s="54"/>
      <c r="I31" s="75" t="str">
        <f t="shared" si="2"/>
        <v/>
      </c>
      <c r="J31" s="90" t="str">
        <f t="shared" si="10"/>
        <v/>
      </c>
      <c r="K31" s="90" t="str">
        <f t="shared" si="4"/>
        <v/>
      </c>
      <c r="L31" s="90">
        <f t="shared" si="8"/>
        <v>0</v>
      </c>
      <c r="M31" s="108" t="str">
        <f t="shared" si="5"/>
        <v/>
      </c>
      <c r="N31" s="91" t="str">
        <f>IFERROR(VLOOKUP(K31,'Measure Table'!$D$2:$R$179,8,FALSE),"")</f>
        <v/>
      </c>
      <c r="O31" s="91" t="str">
        <f>IFERROR(VLOOKUP(K31,'Measure Table'!$D$2:$R$179,12,FALSE),"")</f>
        <v/>
      </c>
      <c r="P31" s="90" t="str" cm="1">
        <f t="array" ref="P31">IF(C31&lt;&gt;"",_xlfn.IFS(F31&lt;=2,0,F31&lt;='Dropdown Tables'!$H$13,1,F31&lt;='Dropdown Tables'!$H$14,2,F31&lt;='Dropdown Tables'!$H$15,3,F31&gt;'Dropdown Tables'!$H$15,"| Wattage too high, Use the tool"),"")</f>
        <v/>
      </c>
      <c r="Q31" s="91" t="str">
        <f>IFERROR(VLOOKUP(K31,'Measure Table'!$D$2:$R$179,9, FALSE)*F31*12,"")</f>
        <v/>
      </c>
      <c r="R31" s="75" t="str">
        <f t="shared" si="6"/>
        <v/>
      </c>
      <c r="S31" s="95" t="str">
        <f t="shared" si="9"/>
        <v/>
      </c>
      <c r="T31" s="80" t="str">
        <f t="shared" si="7"/>
        <v/>
      </c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</row>
    <row r="32" spans="1:36" ht="19.95" customHeight="1" x14ac:dyDescent="0.3">
      <c r="A32" s="59"/>
      <c r="B32" s="93">
        <v>20</v>
      </c>
      <c r="C32" s="54" t="str">
        <f t="shared" si="0"/>
        <v/>
      </c>
      <c r="D32" s="54" t="str">
        <f t="shared" si="1"/>
        <v>No</v>
      </c>
      <c r="E32" s="54"/>
      <c r="F32" s="54"/>
      <c r="G32" s="54"/>
      <c r="H32" s="54"/>
      <c r="I32" s="75" t="str">
        <f t="shared" si="2"/>
        <v/>
      </c>
      <c r="J32" s="90" t="str">
        <f t="shared" si="10"/>
        <v/>
      </c>
      <c r="K32" s="90" t="str">
        <f t="shared" si="4"/>
        <v/>
      </c>
      <c r="L32" s="90">
        <f t="shared" si="8"/>
        <v>0</v>
      </c>
      <c r="M32" s="108" t="str">
        <f t="shared" si="5"/>
        <v/>
      </c>
      <c r="N32" s="91" t="str">
        <f>IFERROR(VLOOKUP(K32,'Measure Table'!$D$2:$R$179,8,FALSE),"")</f>
        <v/>
      </c>
      <c r="O32" s="91" t="str">
        <f>IFERROR(VLOOKUP(K32,'Measure Table'!$D$2:$R$179,12,FALSE),"")</f>
        <v/>
      </c>
      <c r="P32" s="90" t="str" cm="1">
        <f t="array" ref="P32">IF(C32&lt;&gt;"",_xlfn.IFS(F32&lt;=2,0,F32&lt;='Dropdown Tables'!$H$13,1,F32&lt;='Dropdown Tables'!$H$14,2,F32&lt;='Dropdown Tables'!$H$15,3,F32&gt;'Dropdown Tables'!$H$15,"| Wattage too high, Use the tool"),"")</f>
        <v/>
      </c>
      <c r="Q32" s="91" t="str">
        <f>IFERROR(VLOOKUP(K32,'Measure Table'!$D$2:$R$179,9, FALSE)*F32*12,"")</f>
        <v/>
      </c>
      <c r="R32" s="75" t="str">
        <f t="shared" si="6"/>
        <v/>
      </c>
      <c r="S32" s="95" t="str">
        <f t="shared" si="9"/>
        <v/>
      </c>
      <c r="T32" s="80" t="str">
        <f t="shared" si="7"/>
        <v/>
      </c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</row>
    <row r="33" spans="1:36" ht="19.95" customHeight="1" x14ac:dyDescent="0.3">
      <c r="A33" s="59"/>
      <c r="B33" s="93">
        <v>21</v>
      </c>
      <c r="C33" s="54" t="str">
        <f t="shared" si="0"/>
        <v/>
      </c>
      <c r="D33" s="54" t="str">
        <f t="shared" si="1"/>
        <v>No</v>
      </c>
      <c r="E33" s="54"/>
      <c r="F33" s="54"/>
      <c r="G33" s="54"/>
      <c r="H33" s="54"/>
      <c r="I33" s="75" t="str">
        <f t="shared" si="2"/>
        <v/>
      </c>
      <c r="J33" s="90" t="str">
        <f t="shared" si="10"/>
        <v/>
      </c>
      <c r="K33" s="90" t="str">
        <f t="shared" si="4"/>
        <v/>
      </c>
      <c r="L33" s="90">
        <f t="shared" si="8"/>
        <v>0</v>
      </c>
      <c r="M33" s="108" t="str">
        <f t="shared" si="5"/>
        <v/>
      </c>
      <c r="N33" s="91" t="str">
        <f>IFERROR(VLOOKUP(K33,'Measure Table'!$D$2:$R$179,8,FALSE),"")</f>
        <v/>
      </c>
      <c r="O33" s="91" t="str">
        <f>IFERROR(VLOOKUP(K33,'Measure Table'!$D$2:$R$179,12,FALSE),"")</f>
        <v/>
      </c>
      <c r="P33" s="90" t="str" cm="1">
        <f t="array" ref="P33">IF(C33&lt;&gt;"",_xlfn.IFS(F33&lt;=2,0,F33&lt;='Dropdown Tables'!$H$13,1,F33&lt;='Dropdown Tables'!$H$14,2,F33&lt;='Dropdown Tables'!$H$15,3,F33&gt;'Dropdown Tables'!$H$15,"| Wattage too high, Use the tool"),"")</f>
        <v/>
      </c>
      <c r="Q33" s="91" t="str">
        <f>IFERROR(VLOOKUP(K33,'Measure Table'!$D$2:$R$179,9, FALSE)*F33*12,"")</f>
        <v/>
      </c>
      <c r="R33" s="75" t="str">
        <f t="shared" si="6"/>
        <v/>
      </c>
      <c r="S33" s="95" t="str">
        <f t="shared" si="9"/>
        <v/>
      </c>
      <c r="T33" s="80" t="str">
        <f t="shared" si="7"/>
        <v/>
      </c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</row>
    <row r="34" spans="1:36" ht="19.95" customHeight="1" x14ac:dyDescent="0.3">
      <c r="A34" s="59"/>
      <c r="B34" s="93">
        <v>22</v>
      </c>
      <c r="C34" s="54" t="str">
        <f t="shared" si="0"/>
        <v/>
      </c>
      <c r="D34" s="54" t="str">
        <f t="shared" si="1"/>
        <v>No</v>
      </c>
      <c r="E34" s="54"/>
      <c r="F34" s="54"/>
      <c r="G34" s="54"/>
      <c r="H34" s="54"/>
      <c r="I34" s="75" t="str">
        <f t="shared" si="2"/>
        <v/>
      </c>
      <c r="J34" s="90" t="str">
        <f t="shared" si="10"/>
        <v/>
      </c>
      <c r="K34" s="90" t="str">
        <f t="shared" si="4"/>
        <v/>
      </c>
      <c r="L34" s="90">
        <f t="shared" si="8"/>
        <v>0</v>
      </c>
      <c r="M34" s="108" t="str">
        <f t="shared" si="5"/>
        <v/>
      </c>
      <c r="N34" s="91" t="str">
        <f>IFERROR(VLOOKUP(K34,'Measure Table'!$D$2:$R$179,8,FALSE),"")</f>
        <v/>
      </c>
      <c r="O34" s="91" t="str">
        <f>IFERROR(VLOOKUP(K34,'Measure Table'!$D$2:$R$179,12,FALSE),"")</f>
        <v/>
      </c>
      <c r="P34" s="90" t="str" cm="1">
        <f t="array" ref="P34">IF(C34&lt;&gt;"",_xlfn.IFS(F34&lt;=2,0,F34&lt;='Dropdown Tables'!$H$13,1,F34&lt;='Dropdown Tables'!$H$14,2,F34&lt;='Dropdown Tables'!$H$15,3,F34&gt;'Dropdown Tables'!$H$15,"| Wattage too high, Use the tool"),"")</f>
        <v/>
      </c>
      <c r="Q34" s="91" t="str">
        <f>IFERROR(VLOOKUP(K34,'Measure Table'!$D$2:$R$179,9, FALSE)*F34*12,"")</f>
        <v/>
      </c>
      <c r="R34" s="75" t="str">
        <f t="shared" si="6"/>
        <v/>
      </c>
      <c r="S34" s="95" t="str">
        <f t="shared" si="9"/>
        <v/>
      </c>
      <c r="T34" s="80" t="str">
        <f t="shared" si="7"/>
        <v/>
      </c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</row>
    <row r="35" spans="1:36" ht="19.95" customHeight="1" x14ac:dyDescent="0.3">
      <c r="A35" s="59"/>
      <c r="B35" s="93">
        <v>23</v>
      </c>
      <c r="C35" s="54" t="str">
        <f t="shared" si="0"/>
        <v/>
      </c>
      <c r="D35" s="54" t="str">
        <f t="shared" si="1"/>
        <v>No</v>
      </c>
      <c r="E35" s="54"/>
      <c r="F35" s="54"/>
      <c r="G35" s="54"/>
      <c r="H35" s="54"/>
      <c r="I35" s="75" t="str">
        <f t="shared" si="2"/>
        <v/>
      </c>
      <c r="J35" s="90" t="str">
        <f t="shared" si="10"/>
        <v/>
      </c>
      <c r="K35" s="90" t="str">
        <f t="shared" si="4"/>
        <v/>
      </c>
      <c r="L35" s="90">
        <f t="shared" si="8"/>
        <v>0</v>
      </c>
      <c r="M35" s="108" t="str">
        <f t="shared" si="5"/>
        <v/>
      </c>
      <c r="N35" s="91" t="str">
        <f>IFERROR(VLOOKUP(K35,'Measure Table'!$D$2:$R$179,8,FALSE),"")</f>
        <v/>
      </c>
      <c r="O35" s="91" t="str">
        <f>IFERROR(VLOOKUP(K35,'Measure Table'!$D$2:$R$179,12,FALSE),"")</f>
        <v/>
      </c>
      <c r="P35" s="90" t="str" cm="1">
        <f t="array" ref="P35">IF(C35&lt;&gt;"",_xlfn.IFS(F35&lt;=2,0,F35&lt;='Dropdown Tables'!$H$13,1,F35&lt;='Dropdown Tables'!$H$14,2,F35&lt;='Dropdown Tables'!$H$15,3,F35&gt;'Dropdown Tables'!$H$15,"| Wattage too high, Use the tool"),"")</f>
        <v/>
      </c>
      <c r="Q35" s="91" t="str">
        <f>IFERROR(VLOOKUP(K35,'Measure Table'!$D$2:$R$179,9, FALSE)*F35*12,"")</f>
        <v/>
      </c>
      <c r="R35" s="75" t="str">
        <f t="shared" si="6"/>
        <v/>
      </c>
      <c r="S35" s="95" t="str">
        <f t="shared" si="9"/>
        <v/>
      </c>
      <c r="T35" s="80" t="str">
        <f t="shared" si="7"/>
        <v/>
      </c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</row>
    <row r="36" spans="1:36" ht="19.95" customHeight="1" x14ac:dyDescent="0.3">
      <c r="A36" s="59"/>
      <c r="B36" s="93">
        <v>24</v>
      </c>
      <c r="C36" s="54" t="str">
        <f t="shared" si="0"/>
        <v/>
      </c>
      <c r="D36" s="54" t="str">
        <f t="shared" si="1"/>
        <v>No</v>
      </c>
      <c r="E36" s="54"/>
      <c r="F36" s="54"/>
      <c r="G36" s="54"/>
      <c r="H36" s="54"/>
      <c r="I36" s="75" t="str">
        <f t="shared" si="2"/>
        <v/>
      </c>
      <c r="J36" s="90" t="str">
        <f t="shared" si="10"/>
        <v/>
      </c>
      <c r="K36" s="90" t="str">
        <f t="shared" si="4"/>
        <v/>
      </c>
      <c r="L36" s="90">
        <f t="shared" si="8"/>
        <v>0</v>
      </c>
      <c r="M36" s="108" t="str">
        <f t="shared" si="5"/>
        <v/>
      </c>
      <c r="N36" s="91" t="str">
        <f>IFERROR(VLOOKUP(K36,'Measure Table'!$D$2:$R$179,8,FALSE),"")</f>
        <v/>
      </c>
      <c r="O36" s="91" t="str">
        <f>IFERROR(VLOOKUP(K36,'Measure Table'!$D$2:$R$179,12,FALSE),"")</f>
        <v/>
      </c>
      <c r="P36" s="90" t="str" cm="1">
        <f t="array" ref="P36">IF(C36&lt;&gt;"",_xlfn.IFS(F36&lt;=2,0,F36&lt;='Dropdown Tables'!$H$13,1,F36&lt;='Dropdown Tables'!$H$14,2,F36&lt;='Dropdown Tables'!$H$15,3,F36&gt;'Dropdown Tables'!$H$15,"| Wattage too high, Use the tool"),"")</f>
        <v/>
      </c>
      <c r="Q36" s="91" t="str">
        <f>IFERROR(VLOOKUP(K36,'Measure Table'!$D$2:$R$179,9, FALSE)*F36*12,"")</f>
        <v/>
      </c>
      <c r="R36" s="75" t="str">
        <f t="shared" si="6"/>
        <v/>
      </c>
      <c r="S36" s="95" t="str">
        <f t="shared" si="9"/>
        <v/>
      </c>
      <c r="T36" s="80" t="str">
        <f t="shared" si="7"/>
        <v/>
      </c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</row>
    <row r="37" spans="1:36" ht="19.95" customHeight="1" x14ac:dyDescent="0.3">
      <c r="A37" s="59"/>
      <c r="B37" s="93">
        <v>25</v>
      </c>
      <c r="C37" s="54" t="str">
        <f t="shared" si="0"/>
        <v/>
      </c>
      <c r="D37" s="54" t="str">
        <f t="shared" si="1"/>
        <v>No</v>
      </c>
      <c r="E37" s="54"/>
      <c r="F37" s="54"/>
      <c r="G37" s="54"/>
      <c r="H37" s="54"/>
      <c r="I37" s="75" t="str">
        <f t="shared" si="2"/>
        <v/>
      </c>
      <c r="J37" s="90" t="str">
        <f t="shared" si="10"/>
        <v/>
      </c>
      <c r="K37" s="90" t="str">
        <f t="shared" si="4"/>
        <v/>
      </c>
      <c r="L37" s="90">
        <f t="shared" si="8"/>
        <v>0</v>
      </c>
      <c r="M37" s="108" t="str">
        <f t="shared" si="5"/>
        <v/>
      </c>
      <c r="N37" s="91" t="str">
        <f>IFERROR(VLOOKUP(K37,'Measure Table'!$D$2:$R$179,8,FALSE),"")</f>
        <v/>
      </c>
      <c r="O37" s="91" t="str">
        <f>IFERROR(VLOOKUP(K37,'Measure Table'!$D$2:$R$179,12,FALSE),"")</f>
        <v/>
      </c>
      <c r="P37" s="90" t="str" cm="1">
        <f t="array" ref="P37">IF(C37&lt;&gt;"",_xlfn.IFS(F37&lt;=2,0,F37&lt;='Dropdown Tables'!$H$13,1,F37&lt;='Dropdown Tables'!$H$14,2,F37&lt;='Dropdown Tables'!$H$15,3,F37&gt;'Dropdown Tables'!$H$15,"| Wattage too high, Use the tool"),"")</f>
        <v/>
      </c>
      <c r="Q37" s="91" t="str">
        <f>IFERROR(VLOOKUP(K37,'Measure Table'!$D$2:$R$179,9, FALSE)*F37*12,"")</f>
        <v/>
      </c>
      <c r="R37" s="75" t="str">
        <f t="shared" si="6"/>
        <v/>
      </c>
      <c r="S37" s="95" t="str">
        <f t="shared" si="9"/>
        <v/>
      </c>
      <c r="T37" s="81" t="str">
        <f t="shared" si="7"/>
        <v/>
      </c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</row>
    <row r="38" spans="1:36" ht="19.95" customHeight="1" x14ac:dyDescent="0.3">
      <c r="A38" s="59"/>
      <c r="B38" s="93">
        <v>26</v>
      </c>
      <c r="C38" s="54" t="str">
        <f t="shared" si="0"/>
        <v/>
      </c>
      <c r="D38" s="54" t="str">
        <f t="shared" si="1"/>
        <v>No</v>
      </c>
      <c r="E38" s="54"/>
      <c r="F38" s="54"/>
      <c r="G38" s="54"/>
      <c r="H38" s="54"/>
      <c r="I38" s="75" t="str">
        <f t="shared" si="2"/>
        <v/>
      </c>
      <c r="J38" s="90" t="str">
        <f t="shared" si="10"/>
        <v/>
      </c>
      <c r="K38" s="90" t="str">
        <f t="shared" si="4"/>
        <v/>
      </c>
      <c r="L38" s="90">
        <f t="shared" si="8"/>
        <v>0</v>
      </c>
      <c r="M38" s="108" t="str">
        <f t="shared" si="5"/>
        <v/>
      </c>
      <c r="N38" s="91" t="str">
        <f>IFERROR(VLOOKUP(K38,'Measure Table'!$D$2:$R$179,8,FALSE),"")</f>
        <v/>
      </c>
      <c r="O38" s="91" t="str">
        <f>IFERROR(VLOOKUP(K38,'Measure Table'!$D$2:$R$179,12,FALSE),"")</f>
        <v/>
      </c>
      <c r="P38" s="90" t="str" cm="1">
        <f t="array" ref="P38">IF(C38&lt;&gt;"",_xlfn.IFS(F38&lt;=2,0,F38&lt;='Dropdown Tables'!$H$13,1,F38&lt;='Dropdown Tables'!$H$14,2,F38&lt;='Dropdown Tables'!$H$15,3,F38&gt;'Dropdown Tables'!$H$15,"| Wattage too high, Use the tool"),"")</f>
        <v/>
      </c>
      <c r="Q38" s="91" t="str">
        <f>IFERROR(VLOOKUP(K38,'Measure Table'!$D$2:$R$179,9, FALSE)*F38*12,"")</f>
        <v/>
      </c>
      <c r="R38" s="75" t="str">
        <f t="shared" si="6"/>
        <v/>
      </c>
      <c r="S38" s="95" t="str">
        <f t="shared" si="9"/>
        <v/>
      </c>
      <c r="T38" s="82" t="str">
        <f t="shared" si="7"/>
        <v/>
      </c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</row>
    <row r="39" spans="1:36" ht="19.95" customHeight="1" x14ac:dyDescent="0.3">
      <c r="A39" s="59"/>
      <c r="B39" s="93">
        <v>27</v>
      </c>
      <c r="C39" s="54" t="str">
        <f t="shared" si="0"/>
        <v/>
      </c>
      <c r="D39" s="54" t="str">
        <f t="shared" si="1"/>
        <v>No</v>
      </c>
      <c r="E39" s="54"/>
      <c r="F39" s="54"/>
      <c r="G39" s="54"/>
      <c r="H39" s="54"/>
      <c r="I39" s="75" t="str">
        <f t="shared" si="2"/>
        <v/>
      </c>
      <c r="J39" s="90" t="str">
        <f t="shared" si="10"/>
        <v/>
      </c>
      <c r="K39" s="90" t="str">
        <f t="shared" si="4"/>
        <v/>
      </c>
      <c r="L39" s="90">
        <f t="shared" si="8"/>
        <v>0</v>
      </c>
      <c r="M39" s="108" t="str">
        <f t="shared" si="5"/>
        <v/>
      </c>
      <c r="N39" s="91" t="str">
        <f>IFERROR(VLOOKUP(K39,'Measure Table'!$D$2:$R$179,8,FALSE),"")</f>
        <v/>
      </c>
      <c r="O39" s="91" t="str">
        <f>IFERROR(VLOOKUP(K39,'Measure Table'!$D$2:$R$179,12,FALSE),"")</f>
        <v/>
      </c>
      <c r="P39" s="90" t="str" cm="1">
        <f t="array" ref="P39">IF(C39&lt;&gt;"",_xlfn.IFS(F39&lt;=2,0,F39&lt;='Dropdown Tables'!$H$13,1,F39&lt;='Dropdown Tables'!$H$14,2,F39&lt;='Dropdown Tables'!$H$15,3,F39&gt;'Dropdown Tables'!$H$15,"| Wattage too high, Use the tool"),"")</f>
        <v/>
      </c>
      <c r="Q39" s="91" t="str">
        <f>IFERROR(VLOOKUP(K39,'Measure Table'!$D$2:$R$179,9, FALSE)*F39*12,"")</f>
        <v/>
      </c>
      <c r="R39" s="75" t="str">
        <f t="shared" si="6"/>
        <v/>
      </c>
      <c r="S39" s="95" t="str">
        <f t="shared" si="9"/>
        <v/>
      </c>
      <c r="T39" s="80" t="str">
        <f t="shared" si="7"/>
        <v/>
      </c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</row>
    <row r="40" spans="1:36" ht="19.95" customHeight="1" x14ac:dyDescent="0.3">
      <c r="A40" s="59"/>
      <c r="B40" s="93">
        <v>28</v>
      </c>
      <c r="C40" s="54" t="str">
        <f t="shared" si="0"/>
        <v/>
      </c>
      <c r="D40" s="54" t="str">
        <f t="shared" si="1"/>
        <v>No</v>
      </c>
      <c r="E40" s="54"/>
      <c r="F40" s="54"/>
      <c r="G40" s="54"/>
      <c r="H40" s="54"/>
      <c r="I40" s="75" t="str">
        <f t="shared" si="2"/>
        <v/>
      </c>
      <c r="J40" s="90" t="str">
        <f t="shared" si="10"/>
        <v/>
      </c>
      <c r="K40" s="90" t="str">
        <f t="shared" si="4"/>
        <v/>
      </c>
      <c r="L40" s="90">
        <f t="shared" si="8"/>
        <v>0</v>
      </c>
      <c r="M40" s="108" t="str">
        <f t="shared" si="5"/>
        <v/>
      </c>
      <c r="N40" s="91" t="str">
        <f>IFERROR(VLOOKUP(K40,'Measure Table'!$D$2:$R$179,8,FALSE),"")</f>
        <v/>
      </c>
      <c r="O40" s="91" t="str">
        <f>IFERROR(VLOOKUP(K40,'Measure Table'!$D$2:$R$179,12,FALSE),"")</f>
        <v/>
      </c>
      <c r="P40" s="90" t="str" cm="1">
        <f t="array" ref="P40">IF(C40&lt;&gt;"",_xlfn.IFS(F40&lt;=2,0,F40&lt;='Dropdown Tables'!$H$13,1,F40&lt;='Dropdown Tables'!$H$14,2,F40&lt;='Dropdown Tables'!$H$15,3,F40&gt;'Dropdown Tables'!$H$15,"| Wattage too high, Use the tool"),"")</f>
        <v/>
      </c>
      <c r="Q40" s="91" t="str">
        <f>IFERROR(VLOOKUP(K40,'Measure Table'!$D$2:$R$179,9, FALSE)*F40*12,"")</f>
        <v/>
      </c>
      <c r="R40" s="75" t="str">
        <f t="shared" si="6"/>
        <v/>
      </c>
      <c r="S40" s="95" t="str">
        <f t="shared" si="9"/>
        <v/>
      </c>
      <c r="T40" s="80" t="str">
        <f t="shared" si="7"/>
        <v/>
      </c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</row>
    <row r="41" spans="1:36" ht="19.95" customHeight="1" x14ac:dyDescent="0.3">
      <c r="A41" s="59"/>
      <c r="B41" s="93">
        <v>29</v>
      </c>
      <c r="C41" s="54" t="str">
        <f t="shared" si="0"/>
        <v/>
      </c>
      <c r="D41" s="54" t="str">
        <f t="shared" si="1"/>
        <v>No</v>
      </c>
      <c r="E41" s="54"/>
      <c r="F41" s="54"/>
      <c r="G41" s="54"/>
      <c r="H41" s="54"/>
      <c r="I41" s="75" t="str">
        <f t="shared" si="2"/>
        <v/>
      </c>
      <c r="J41" s="90" t="str">
        <f t="shared" si="10"/>
        <v/>
      </c>
      <c r="K41" s="90" t="str">
        <f t="shared" si="4"/>
        <v/>
      </c>
      <c r="L41" s="90">
        <f t="shared" si="8"/>
        <v>0</v>
      </c>
      <c r="M41" s="108" t="str">
        <f t="shared" si="5"/>
        <v/>
      </c>
      <c r="N41" s="91" t="str">
        <f>IFERROR(VLOOKUP(K41,'Measure Table'!$D$2:$R$179,8,FALSE),"")</f>
        <v/>
      </c>
      <c r="O41" s="91" t="str">
        <f>IFERROR(VLOOKUP(K41,'Measure Table'!$D$2:$R$179,12,FALSE),"")</f>
        <v/>
      </c>
      <c r="P41" s="90" t="str" cm="1">
        <f t="array" ref="P41">IF(C41&lt;&gt;"",_xlfn.IFS(F41&lt;=2,0,F41&lt;='Dropdown Tables'!$H$13,1,F41&lt;='Dropdown Tables'!$H$14,2,F41&lt;='Dropdown Tables'!$H$15,3,F41&gt;'Dropdown Tables'!$H$15,"| Wattage too high, Use the tool"),"")</f>
        <v/>
      </c>
      <c r="Q41" s="91" t="str">
        <f>IFERROR(VLOOKUP(K41,'Measure Table'!$D$2:$R$179,9, FALSE)*F41*12,"")</f>
        <v/>
      </c>
      <c r="R41" s="75" t="str">
        <f t="shared" si="6"/>
        <v/>
      </c>
      <c r="S41" s="95" t="str">
        <f t="shared" si="9"/>
        <v/>
      </c>
      <c r="T41" s="80" t="str">
        <f t="shared" si="7"/>
        <v/>
      </c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</row>
    <row r="42" spans="1:36" ht="19.95" customHeight="1" x14ac:dyDescent="0.3">
      <c r="A42" s="59"/>
      <c r="B42" s="93">
        <v>30</v>
      </c>
      <c r="C42" s="54" t="str">
        <f t="shared" si="0"/>
        <v/>
      </c>
      <c r="D42" s="54" t="str">
        <f t="shared" si="1"/>
        <v>No</v>
      </c>
      <c r="E42" s="54"/>
      <c r="F42" s="54"/>
      <c r="G42" s="54"/>
      <c r="H42" s="54"/>
      <c r="I42" s="75" t="str">
        <f t="shared" si="2"/>
        <v/>
      </c>
      <c r="J42" s="90" t="str">
        <f t="shared" si="10"/>
        <v/>
      </c>
      <c r="K42" s="90" t="str">
        <f t="shared" si="4"/>
        <v/>
      </c>
      <c r="L42" s="90">
        <f t="shared" si="8"/>
        <v>0</v>
      </c>
      <c r="M42" s="108" t="str">
        <f t="shared" si="5"/>
        <v/>
      </c>
      <c r="N42" s="91" t="str">
        <f>IFERROR(VLOOKUP(K42,'Measure Table'!$D$2:$R$179,8,FALSE),"")</f>
        <v/>
      </c>
      <c r="O42" s="91" t="str">
        <f>IFERROR(VLOOKUP(K42,'Measure Table'!$D$2:$R$179,12,FALSE),"")</f>
        <v/>
      </c>
      <c r="P42" s="90" t="str" cm="1">
        <f t="array" ref="P42">IF(C42&lt;&gt;"",_xlfn.IFS(F42&lt;=2,0,F42&lt;='Dropdown Tables'!$H$13,1,F42&lt;='Dropdown Tables'!$H$14,2,F42&lt;='Dropdown Tables'!$H$15,3,F42&gt;'Dropdown Tables'!$H$15,"| Wattage too high, Use the tool"),"")</f>
        <v/>
      </c>
      <c r="Q42" s="91" t="str">
        <f>IFERROR(VLOOKUP(K42,'Measure Table'!$D$2:$R$179,9, FALSE)*F42*12,"")</f>
        <v/>
      </c>
      <c r="R42" s="75" t="str">
        <f t="shared" si="6"/>
        <v/>
      </c>
      <c r="S42" s="95" t="str">
        <f t="shared" si="9"/>
        <v/>
      </c>
      <c r="T42" s="80" t="str">
        <f t="shared" si="7"/>
        <v/>
      </c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</row>
    <row r="43" spans="1:36" ht="19.95" customHeight="1" x14ac:dyDescent="0.3">
      <c r="A43" s="59"/>
      <c r="B43" s="93">
        <v>31</v>
      </c>
      <c r="C43" s="54" t="str">
        <f t="shared" si="0"/>
        <v/>
      </c>
      <c r="D43" s="54" t="str">
        <f t="shared" si="1"/>
        <v>No</v>
      </c>
      <c r="E43" s="54"/>
      <c r="F43" s="54"/>
      <c r="G43" s="54"/>
      <c r="H43" s="54"/>
      <c r="I43" s="75" t="str">
        <f t="shared" si="2"/>
        <v/>
      </c>
      <c r="J43" s="90" t="str">
        <f t="shared" si="10"/>
        <v/>
      </c>
      <c r="K43" s="90" t="str">
        <f t="shared" si="4"/>
        <v/>
      </c>
      <c r="L43" s="90">
        <f t="shared" si="8"/>
        <v>0</v>
      </c>
      <c r="M43" s="108" t="str">
        <f t="shared" si="5"/>
        <v/>
      </c>
      <c r="N43" s="91" t="str">
        <f>IFERROR(VLOOKUP(K43,'Measure Table'!$D$2:$R$179,8,FALSE),"")</f>
        <v/>
      </c>
      <c r="O43" s="91" t="str">
        <f>IFERROR(VLOOKUP(K43,'Measure Table'!$D$2:$R$179,12,FALSE),"")</f>
        <v/>
      </c>
      <c r="P43" s="90" t="str" cm="1">
        <f t="array" ref="P43">IF(C43&lt;&gt;"",_xlfn.IFS(F43&lt;=2,0,F43&lt;='Dropdown Tables'!$H$13,1,F43&lt;='Dropdown Tables'!$H$14,2,F43&lt;='Dropdown Tables'!$H$15,3,F43&gt;'Dropdown Tables'!$H$15,"| Wattage too high, Use the tool"),"")</f>
        <v/>
      </c>
      <c r="Q43" s="91" t="str">
        <f>IFERROR(VLOOKUP(K43,'Measure Table'!$D$2:$R$179,9, FALSE)*F43*12,"")</f>
        <v/>
      </c>
      <c r="R43" s="75" t="str">
        <f t="shared" si="6"/>
        <v/>
      </c>
      <c r="S43" s="95" t="str">
        <f t="shared" si="9"/>
        <v/>
      </c>
      <c r="T43" s="80" t="str">
        <f t="shared" si="7"/>
        <v/>
      </c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1:36" ht="19.95" customHeight="1" x14ac:dyDescent="0.3">
      <c r="A44" s="59"/>
      <c r="B44" s="93">
        <v>32</v>
      </c>
      <c r="C44" s="54" t="str">
        <f t="shared" si="0"/>
        <v/>
      </c>
      <c r="D44" s="54" t="str">
        <f t="shared" si="1"/>
        <v>No</v>
      </c>
      <c r="E44" s="54"/>
      <c r="F44" s="54"/>
      <c r="G44" s="54"/>
      <c r="H44" s="54"/>
      <c r="I44" s="75" t="str">
        <f t="shared" si="2"/>
        <v/>
      </c>
      <c r="J44" s="90" t="str">
        <f t="shared" si="10"/>
        <v/>
      </c>
      <c r="K44" s="90" t="str">
        <f t="shared" si="4"/>
        <v/>
      </c>
      <c r="L44" s="90">
        <f t="shared" si="8"/>
        <v>0</v>
      </c>
      <c r="M44" s="108" t="str">
        <f t="shared" si="5"/>
        <v/>
      </c>
      <c r="N44" s="91" t="str">
        <f>IFERROR(VLOOKUP(K44,'Measure Table'!$D$2:$R$179,8,FALSE),"")</f>
        <v/>
      </c>
      <c r="O44" s="91" t="str">
        <f>IFERROR(VLOOKUP(K44,'Measure Table'!$D$2:$R$179,12,FALSE),"")</f>
        <v/>
      </c>
      <c r="P44" s="90" t="str" cm="1">
        <f t="array" ref="P44">IF(C44&lt;&gt;"",_xlfn.IFS(F44&lt;=2,0,F44&lt;='Dropdown Tables'!$H$13,1,F44&lt;='Dropdown Tables'!$H$14,2,F44&lt;='Dropdown Tables'!$H$15,3,F44&gt;'Dropdown Tables'!$H$15,"| Wattage too high, Use the tool"),"")</f>
        <v/>
      </c>
      <c r="Q44" s="91" t="str">
        <f>IFERROR(VLOOKUP(K44,'Measure Table'!$D$2:$R$179,9, FALSE)*F44*12,"")</f>
        <v/>
      </c>
      <c r="R44" s="75" t="str">
        <f t="shared" si="6"/>
        <v/>
      </c>
      <c r="S44" s="95" t="str">
        <f t="shared" si="9"/>
        <v/>
      </c>
      <c r="T44" s="80" t="str">
        <f t="shared" si="7"/>
        <v/>
      </c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</row>
    <row r="45" spans="1:36" ht="19.95" customHeight="1" x14ac:dyDescent="0.3">
      <c r="A45" s="59"/>
      <c r="B45" s="93">
        <v>33</v>
      </c>
      <c r="C45" s="54" t="str">
        <f t="shared" si="0"/>
        <v/>
      </c>
      <c r="D45" s="54" t="str">
        <f t="shared" si="1"/>
        <v>No</v>
      </c>
      <c r="E45" s="54"/>
      <c r="F45" s="54"/>
      <c r="G45" s="54"/>
      <c r="H45" s="54"/>
      <c r="I45" s="75" t="str">
        <f t="shared" si="2"/>
        <v/>
      </c>
      <c r="J45" s="90" t="str">
        <f t="shared" si="10"/>
        <v/>
      </c>
      <c r="K45" s="90" t="str">
        <f t="shared" si="4"/>
        <v/>
      </c>
      <c r="L45" s="90">
        <f t="shared" si="8"/>
        <v>0</v>
      </c>
      <c r="M45" s="108" t="str">
        <f t="shared" si="5"/>
        <v/>
      </c>
      <c r="N45" s="91" t="str">
        <f>IFERROR(VLOOKUP(K45,'Measure Table'!$D$2:$R$179,8,FALSE),"")</f>
        <v/>
      </c>
      <c r="O45" s="91" t="str">
        <f>IFERROR(VLOOKUP(K45,'Measure Table'!$D$2:$R$179,12,FALSE),"")</f>
        <v/>
      </c>
      <c r="P45" s="90" t="str" cm="1">
        <f t="array" ref="P45">IF(C45&lt;&gt;"",_xlfn.IFS(F45&lt;=2,0,F45&lt;='Dropdown Tables'!$H$13,1,F45&lt;='Dropdown Tables'!$H$14,2,F45&lt;='Dropdown Tables'!$H$15,3,F45&gt;'Dropdown Tables'!$H$15,"| Wattage too high, Use the tool"),"")</f>
        <v/>
      </c>
      <c r="Q45" s="91" t="str">
        <f>IFERROR(VLOOKUP(K45,'Measure Table'!$D$2:$R$179,9, FALSE)*F45*12,"")</f>
        <v/>
      </c>
      <c r="R45" s="75" t="str">
        <f t="shared" si="6"/>
        <v/>
      </c>
      <c r="S45" s="95" t="str">
        <f t="shared" si="9"/>
        <v/>
      </c>
      <c r="T45" s="80" t="str">
        <f t="shared" si="7"/>
        <v/>
      </c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</row>
    <row r="46" spans="1:36" ht="19.95" customHeight="1" x14ac:dyDescent="0.3">
      <c r="A46" s="59"/>
      <c r="B46" s="93">
        <v>34</v>
      </c>
      <c r="C46" s="54" t="str">
        <f t="shared" si="0"/>
        <v/>
      </c>
      <c r="D46" s="54" t="str">
        <f t="shared" si="1"/>
        <v>No</v>
      </c>
      <c r="E46" s="54"/>
      <c r="F46" s="54"/>
      <c r="G46" s="54"/>
      <c r="H46" s="54"/>
      <c r="I46" s="75" t="str">
        <f t="shared" si="2"/>
        <v/>
      </c>
      <c r="J46" s="90" t="str">
        <f t="shared" si="10"/>
        <v/>
      </c>
      <c r="K46" s="90" t="str">
        <f t="shared" si="4"/>
        <v/>
      </c>
      <c r="L46" s="90">
        <f t="shared" si="8"/>
        <v>0</v>
      </c>
      <c r="M46" s="108" t="str">
        <f t="shared" si="5"/>
        <v/>
      </c>
      <c r="N46" s="91" t="str">
        <f>IFERROR(VLOOKUP(K46,'Measure Table'!$D$2:$R$179,8,FALSE),"")</f>
        <v/>
      </c>
      <c r="O46" s="91" t="str">
        <f>IFERROR(VLOOKUP(K46,'Measure Table'!$D$2:$R$179,12,FALSE),"")</f>
        <v/>
      </c>
      <c r="P46" s="90" t="str" cm="1">
        <f t="array" ref="P46">IF(C46&lt;&gt;"",_xlfn.IFS(F46&lt;=2,0,F46&lt;='Dropdown Tables'!$H$13,1,F46&lt;='Dropdown Tables'!$H$14,2,F46&lt;='Dropdown Tables'!$H$15,3,F46&gt;'Dropdown Tables'!$H$15,"| Wattage too high, Use the tool"),"")</f>
        <v/>
      </c>
      <c r="Q46" s="91" t="str">
        <f>IFERROR(VLOOKUP(K46,'Measure Table'!$D$2:$R$179,9, FALSE)*F46*12,"")</f>
        <v/>
      </c>
      <c r="R46" s="75" t="str">
        <f t="shared" si="6"/>
        <v/>
      </c>
      <c r="S46" s="95" t="str">
        <f t="shared" si="9"/>
        <v/>
      </c>
      <c r="T46" s="80" t="str">
        <f t="shared" si="7"/>
        <v/>
      </c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</row>
    <row r="47" spans="1:36" ht="19.95" customHeight="1" thickBot="1" x14ac:dyDescent="0.35">
      <c r="A47" s="59"/>
      <c r="B47" s="93">
        <v>35</v>
      </c>
      <c r="C47" s="54" t="str">
        <f t="shared" si="0"/>
        <v/>
      </c>
      <c r="D47" s="54" t="str">
        <f t="shared" si="1"/>
        <v>No</v>
      </c>
      <c r="E47" s="54"/>
      <c r="F47" s="54"/>
      <c r="G47" s="54"/>
      <c r="H47" s="54"/>
      <c r="I47" s="75" t="str">
        <f t="shared" si="2"/>
        <v/>
      </c>
      <c r="J47" s="90" t="str">
        <f t="shared" si="10"/>
        <v/>
      </c>
      <c r="K47" s="90" t="str">
        <f t="shared" si="4"/>
        <v/>
      </c>
      <c r="L47" s="90">
        <f t="shared" si="8"/>
        <v>0</v>
      </c>
      <c r="M47" s="108" t="str">
        <f t="shared" si="5"/>
        <v/>
      </c>
      <c r="N47" s="91" t="str">
        <f>IFERROR(VLOOKUP(K47,'Measure Table'!$D$2:$R$179,8,FALSE),"")</f>
        <v/>
      </c>
      <c r="O47" s="91" t="str">
        <f>IFERROR(VLOOKUP(K47,'Measure Table'!$D$2:$R$179,12,FALSE),"")</f>
        <v/>
      </c>
      <c r="P47" s="90" t="str" cm="1">
        <f t="array" ref="P47">IF(C47&lt;&gt;"",_xlfn.IFS(F47&lt;=2,0,F47&lt;='Dropdown Tables'!$H$13,1,F47&lt;='Dropdown Tables'!$H$14,2,F47&lt;='Dropdown Tables'!$H$15,3,F47&gt;'Dropdown Tables'!$H$15,"| Wattage too high, Use the tool"),"")</f>
        <v/>
      </c>
      <c r="Q47" s="91" t="str">
        <f>IFERROR(VLOOKUP(K47,'Measure Table'!$D$2:$R$179,9, FALSE)*F47*12,"")</f>
        <v/>
      </c>
      <c r="R47" s="75" t="str">
        <f t="shared" si="6"/>
        <v/>
      </c>
      <c r="S47" s="95" t="str">
        <f t="shared" si="9"/>
        <v/>
      </c>
      <c r="T47" s="83" t="str">
        <f t="shared" si="7"/>
        <v/>
      </c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</row>
    <row r="48" spans="1:36" ht="15" thickBot="1" x14ac:dyDescent="0.35">
      <c r="A48" s="59"/>
      <c r="B48" s="94"/>
      <c r="C48" s="86" t="s">
        <v>42</v>
      </c>
      <c r="D48" s="87"/>
      <c r="E48" s="87"/>
      <c r="F48" s="87">
        <f>SUM(F13:F47)</f>
        <v>0</v>
      </c>
      <c r="G48" s="87">
        <f>SUM(G13:G47)</f>
        <v>0</v>
      </c>
      <c r="H48" s="87"/>
      <c r="I48" s="87"/>
      <c r="J48" s="87"/>
      <c r="K48" s="87"/>
      <c r="L48" s="107">
        <f>SUM(L13:L47)</f>
        <v>0</v>
      </c>
      <c r="M48" s="109">
        <f>SUM(M13:M47)</f>
        <v>0</v>
      </c>
      <c r="N48" s="87"/>
      <c r="O48" s="87"/>
      <c r="P48" s="87"/>
      <c r="Q48" s="105">
        <f>SUM(Q13:Q47)</f>
        <v>0</v>
      </c>
      <c r="R48" s="88">
        <f>SUM(R13:R47)</f>
        <v>0</v>
      </c>
      <c r="S48" s="106" t="str" cm="1">
        <f t="array" ref="S48">IFERROR(TotalCappedIncentive,"-")</f>
        <v>-</v>
      </c>
      <c r="T48" s="11">
        <f>SUM(T13:T47)</f>
        <v>0</v>
      </c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</row>
    <row r="49" spans="1:36" x14ac:dyDescent="0.3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</row>
    <row r="50" spans="1:36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</row>
    <row r="51" spans="1:36" x14ac:dyDescent="0.3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</row>
    <row r="52" spans="1:36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</row>
    <row r="53" spans="1:36" x14ac:dyDescent="0.3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</row>
    <row r="54" spans="1:36" x14ac:dyDescent="0.3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</row>
    <row r="55" spans="1:36" x14ac:dyDescent="0.3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</row>
    <row r="56" spans="1:36" x14ac:dyDescent="0.3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</row>
    <row r="57" spans="1:36" x14ac:dyDescent="0.3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</row>
    <row r="58" spans="1:36" x14ac:dyDescent="0.3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</row>
    <row r="59" spans="1:36" x14ac:dyDescent="0.3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</row>
    <row r="60" spans="1:36" x14ac:dyDescent="0.3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</row>
    <row r="61" spans="1:36" x14ac:dyDescent="0.3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6" x14ac:dyDescent="0.3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 spans="1:36" x14ac:dyDescent="0.3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</row>
    <row r="64" spans="1:36" x14ac:dyDescent="0.3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</row>
    <row r="65" spans="1:36" x14ac:dyDescent="0.3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</row>
    <row r="66" spans="1:36" x14ac:dyDescent="0.3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</row>
    <row r="67" spans="1:36" x14ac:dyDescent="0.3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</row>
    <row r="68" spans="1:36" x14ac:dyDescent="0.3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</row>
    <row r="69" spans="1:36" x14ac:dyDescent="0.3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</row>
    <row r="70" spans="1:36" x14ac:dyDescent="0.3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</row>
    <row r="71" spans="1:36" x14ac:dyDescent="0.3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</row>
    <row r="72" spans="1:36" x14ac:dyDescent="0.3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</row>
    <row r="73" spans="1:36" x14ac:dyDescent="0.3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</row>
    <row r="74" spans="1:36" x14ac:dyDescent="0.3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</row>
    <row r="75" spans="1:36" x14ac:dyDescent="0.3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</row>
    <row r="76" spans="1:36" x14ac:dyDescent="0.3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</row>
    <row r="77" spans="1:36" x14ac:dyDescent="0.3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</row>
    <row r="78" spans="1:36" x14ac:dyDescent="0.3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</row>
    <row r="79" spans="1:36" x14ac:dyDescent="0.3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</row>
  </sheetData>
  <mergeCells count="13">
    <mergeCell ref="V2:W2"/>
    <mergeCell ref="B2:F3"/>
    <mergeCell ref="G6:H6"/>
    <mergeCell ref="G9:H9"/>
    <mergeCell ref="G10:H10"/>
    <mergeCell ref="G7:H7"/>
    <mergeCell ref="G8:H8"/>
    <mergeCell ref="Q10:R10"/>
    <mergeCell ref="R2:S2"/>
    <mergeCell ref="Q6:R6"/>
    <mergeCell ref="Q7:R7"/>
    <mergeCell ref="Q8:R8"/>
    <mergeCell ref="Q9:R9"/>
  </mergeCells>
  <conditionalFormatting sqref="F4 Q6:Q9 G6:G10">
    <cfRule type="expression" dxfId="1" priority="4">
      <formula>LEN(F4)&gt;0</formula>
    </cfRule>
  </conditionalFormatting>
  <conditionalFormatting sqref="F11 C13:H47">
    <cfRule type="expression" dxfId="0" priority="8">
      <formula>LEN(C11)&gt;0</formula>
    </cfRule>
  </conditionalFormatting>
  <dataValidations count="4">
    <dataValidation type="list" allowBlank="1" showInputMessage="1" showErrorMessage="1" sqref="F4 Q6" xr:uid="{1D745CC7-EAC8-4C34-83BC-233637789EDF}">
      <formula1>"Yes, No"</formula1>
    </dataValidation>
    <dataValidation type="list" allowBlank="1" showInputMessage="1" showErrorMessage="1" sqref="E13:E47" xr:uid="{E8F84A5B-FE85-4317-9C4C-DD3FC12DB383}">
      <formula1>FixtureClassification</formula1>
    </dataValidation>
    <dataValidation type="list" allowBlank="1" showInputMessage="1" showErrorMessage="1" sqref="G10:H10" xr:uid="{D8344EDF-26C4-4719-B955-0720D55998CE}">
      <formula1>Rate_Schedules</formula1>
    </dataValidation>
    <dataValidation type="list" allowBlank="1" showInputMessage="1" showErrorMessage="1" sqref="G9:H9" xr:uid="{66CE9009-1793-4B22-AC5F-7E906C01A9DF}">
      <formula1>IF($Q$6="Yes",SMBEBuildingType,BuildingType)</formula1>
    </dataValidation>
  </dataValidations>
  <pageMargins left="0.25" right="0.25" top="0.5" bottom="0.5" header="0.3" footer="0.3"/>
  <pageSetup scale="92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86A69-2F8F-4741-881D-09B31FA53712}">
  <sheetPr codeName="Sheet2">
    <pageSetUpPr fitToPage="1"/>
  </sheetPr>
  <dimension ref="A1:Z75"/>
  <sheetViews>
    <sheetView showGridLines="0" showRowColHeaders="0" zoomScaleNormal="100" workbookViewId="0">
      <selection activeCell="M7" sqref="M7"/>
    </sheetView>
  </sheetViews>
  <sheetFormatPr defaultRowHeight="14.4" x14ac:dyDescent="0.3"/>
  <cols>
    <col min="1" max="1" width="1.21875" customWidth="1"/>
    <col min="2" max="3" width="8.21875" customWidth="1"/>
    <col min="4" max="4" width="20.44140625" customWidth="1"/>
    <col min="5" max="5" width="2.44140625" customWidth="1"/>
    <col min="6" max="7" width="8.21875" customWidth="1"/>
    <col min="8" max="8" width="13" customWidth="1"/>
    <col min="9" max="9" width="2.21875" customWidth="1"/>
    <col min="10" max="10" width="8.5546875" customWidth="1"/>
    <col min="11" max="11" width="6.77734375" customWidth="1"/>
    <col min="12" max="13" width="8.21875" customWidth="1"/>
    <col min="14" max="14" width="1.21875" customWidth="1"/>
  </cols>
  <sheetData>
    <row r="1" spans="1:26" ht="6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5.7" customHeight="1" x14ac:dyDescent="0.3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2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4.25" customHeight="1" x14ac:dyDescent="0.3">
      <c r="A3" s="12"/>
      <c r="B3" s="134" t="e" vm="3">
        <v>#VALUE!</v>
      </c>
      <c r="C3" s="134"/>
      <c r="D3" s="134"/>
      <c r="E3" s="65"/>
      <c r="F3" s="14"/>
      <c r="G3" s="14"/>
      <c r="H3" s="14"/>
      <c r="I3" s="14"/>
      <c r="J3" s="13"/>
      <c r="K3" s="133" t="e" vm="2">
        <v>#VALUE!</v>
      </c>
      <c r="L3" s="133"/>
      <c r="M3" s="133"/>
      <c r="N3" s="12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x14ac:dyDescent="0.3">
      <c r="A4" s="12"/>
      <c r="B4" s="134"/>
      <c r="C4" s="134"/>
      <c r="D4" s="134"/>
      <c r="E4" s="65"/>
      <c r="F4" s="14"/>
      <c r="G4" s="14"/>
      <c r="H4" s="14"/>
      <c r="I4" s="14"/>
      <c r="K4" s="133"/>
      <c r="L4" s="133"/>
      <c r="M4" s="133"/>
      <c r="N4" s="12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x14ac:dyDescent="0.3">
      <c r="A5" s="12"/>
      <c r="B5" s="134"/>
      <c r="C5" s="134"/>
      <c r="D5" s="134"/>
      <c r="E5" s="65"/>
      <c r="F5" s="14"/>
      <c r="G5" s="14"/>
      <c r="H5" s="14"/>
      <c r="I5" s="14"/>
      <c r="J5" s="14"/>
      <c r="K5" s="133"/>
      <c r="L5" s="133"/>
      <c r="M5" s="133"/>
      <c r="N5" s="12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x14ac:dyDescent="0.3">
      <c r="A6" s="12"/>
      <c r="B6" s="64" t="s">
        <v>45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5" t="s">
        <v>62</v>
      </c>
      <c r="N6" s="12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x14ac:dyDescent="0.3">
      <c r="A7" s="12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36" t="s">
        <v>986</v>
      </c>
      <c r="N7" s="12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4.25" customHeight="1" x14ac:dyDescent="0.3">
      <c r="A8" s="12"/>
      <c r="B8" s="140" t="s">
        <v>48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2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4.25" customHeight="1" x14ac:dyDescent="0.3">
      <c r="A9" s="12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2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x14ac:dyDescent="0.3">
      <c r="A10" s="1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2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6.2" x14ac:dyDescent="0.3">
      <c r="A11" s="12"/>
      <c r="B11" s="22" t="s">
        <v>49</v>
      </c>
      <c r="C11" s="23"/>
      <c r="D11" s="23"/>
      <c r="E11" s="23"/>
      <c r="F11" s="23"/>
      <c r="G11" s="23"/>
      <c r="H11" s="23"/>
      <c r="I11" s="21"/>
      <c r="J11" s="53"/>
      <c r="K11" s="53"/>
      <c r="L11" s="53"/>
      <c r="M11" s="21"/>
      <c r="N11" s="12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4.25" customHeight="1" x14ac:dyDescent="0.3">
      <c r="A12" s="12"/>
      <c r="B12" s="23"/>
      <c r="C12" s="23"/>
      <c r="D12" s="141" t="str">
        <f>IFERROR(IF(kWhSavings_Total="","",(kWhSavings_Total*kWh_Rate)+(kWSavings_Total*kW_Rate)),"-")</f>
        <v>-</v>
      </c>
      <c r="E12" s="141"/>
      <c r="F12" s="141"/>
      <c r="G12" s="143" t="s">
        <v>86</v>
      </c>
      <c r="H12" s="143"/>
      <c r="I12" s="143"/>
      <c r="J12" s="143"/>
      <c r="K12" s="21"/>
      <c r="L12" s="21"/>
      <c r="M12" s="21"/>
      <c r="N12" s="12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4.25" customHeight="1" x14ac:dyDescent="0.3">
      <c r="A13" s="12"/>
      <c r="B13" s="23"/>
      <c r="C13" s="23"/>
      <c r="D13" s="141"/>
      <c r="E13" s="141"/>
      <c r="F13" s="141"/>
      <c r="G13" s="143"/>
      <c r="H13" s="143"/>
      <c r="I13" s="143"/>
      <c r="J13" s="143"/>
      <c r="K13" s="21"/>
      <c r="L13" s="21"/>
      <c r="M13" s="21"/>
      <c r="N13" s="12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4.25" customHeight="1" x14ac:dyDescent="0.3">
      <c r="A14" s="12"/>
      <c r="B14" s="23"/>
      <c r="C14" s="23"/>
      <c r="D14" s="141"/>
      <c r="E14" s="141"/>
      <c r="F14" s="141"/>
      <c r="G14" s="143"/>
      <c r="H14" s="143"/>
      <c r="I14" s="143"/>
      <c r="J14" s="143"/>
      <c r="K14" s="21"/>
      <c r="L14" s="21"/>
      <c r="M14" s="21"/>
      <c r="N14" s="12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4.25" customHeight="1" x14ac:dyDescent="0.3">
      <c r="A15" s="12"/>
      <c r="B15" s="23"/>
      <c r="C15" s="23"/>
      <c r="D15" s="141"/>
      <c r="E15" s="141"/>
      <c r="F15" s="141"/>
      <c r="G15" s="143"/>
      <c r="H15" s="143"/>
      <c r="I15" s="143"/>
      <c r="J15" s="143"/>
      <c r="K15" s="21"/>
      <c r="L15" s="21"/>
      <c r="M15" s="21"/>
      <c r="N15" s="12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6.2" x14ac:dyDescent="0.3">
      <c r="A16" s="12"/>
      <c r="B16" s="22" t="s">
        <v>50</v>
      </c>
      <c r="C16" s="23"/>
      <c r="D16" s="23"/>
      <c r="E16" s="23"/>
      <c r="F16" s="23"/>
      <c r="G16" s="23"/>
      <c r="H16" s="23"/>
      <c r="I16" s="21"/>
      <c r="J16" s="21"/>
      <c r="K16" s="21"/>
      <c r="L16" s="21"/>
      <c r="M16" s="21"/>
      <c r="N16" s="12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4.25" customHeight="1" x14ac:dyDescent="0.3">
      <c r="A17" s="12"/>
      <c r="B17" s="21"/>
      <c r="C17" s="21"/>
      <c r="D17" s="135" t="str" cm="1">
        <f t="array" ref="D17">IFERROR(IF(TotalCappedIncentive="","",TotalCappedIncentive),"-")</f>
        <v>-</v>
      </c>
      <c r="E17" s="135"/>
      <c r="F17" s="135"/>
      <c r="G17" s="136" t="s">
        <v>67</v>
      </c>
      <c r="H17" s="136"/>
      <c r="I17" s="21"/>
      <c r="J17" s="21"/>
      <c r="K17" s="21"/>
      <c r="L17" s="21"/>
      <c r="M17" s="21"/>
      <c r="N17" s="12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4.25" customHeight="1" x14ac:dyDescent="0.3">
      <c r="A18" s="12"/>
      <c r="B18" s="21"/>
      <c r="C18" s="21"/>
      <c r="D18" s="135"/>
      <c r="E18" s="135"/>
      <c r="F18" s="135"/>
      <c r="G18" s="136"/>
      <c r="H18" s="136"/>
      <c r="I18" s="21"/>
      <c r="J18" s="21"/>
      <c r="K18" s="21"/>
      <c r="L18" s="21"/>
      <c r="M18" s="21"/>
      <c r="N18" s="12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4.25" customHeight="1" x14ac:dyDescent="0.3">
      <c r="A19" s="12"/>
      <c r="B19" s="21"/>
      <c r="C19" s="21"/>
      <c r="D19" s="135"/>
      <c r="E19" s="135"/>
      <c r="F19" s="135"/>
      <c r="G19" s="136"/>
      <c r="H19" s="136"/>
      <c r="I19" s="21"/>
      <c r="J19" s="21"/>
      <c r="K19" s="21"/>
      <c r="L19" s="21"/>
      <c r="M19" s="21"/>
      <c r="N19" s="12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4.25" customHeight="1" x14ac:dyDescent="0.3">
      <c r="A20" s="12"/>
      <c r="B20" s="21"/>
      <c r="C20" s="21"/>
      <c r="D20" s="135"/>
      <c r="E20" s="135"/>
      <c r="F20" s="135"/>
      <c r="G20" s="136"/>
      <c r="H20" s="136"/>
      <c r="I20" s="21"/>
      <c r="J20" s="21"/>
      <c r="K20" s="21"/>
      <c r="L20" s="21"/>
      <c r="M20" s="21"/>
      <c r="N20" s="12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5.45" customHeight="1" x14ac:dyDescent="0.3">
      <c r="A21" s="12"/>
      <c r="B21" s="22" t="s">
        <v>51</v>
      </c>
      <c r="C21" s="23"/>
      <c r="D21" s="23"/>
      <c r="E21" s="23"/>
      <c r="F21" s="23"/>
      <c r="G21" s="23"/>
      <c r="H21" s="23"/>
      <c r="I21" s="24" t="s">
        <v>66</v>
      </c>
      <c r="J21" s="23"/>
      <c r="K21" s="23"/>
      <c r="L21" s="23"/>
      <c r="M21" s="23"/>
      <c r="N21" s="12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27" customHeight="1" x14ac:dyDescent="0.3">
      <c r="A22" s="12"/>
      <c r="B22" s="23"/>
      <c r="C22" s="23"/>
      <c r="D22" s="137" t="str">
        <f>IF(kWhSavings_Total=0,"-",kWhSavings_Total)</f>
        <v>-</v>
      </c>
      <c r="E22" s="137"/>
      <c r="F22" s="137"/>
      <c r="G22" s="128" t="s">
        <v>52</v>
      </c>
      <c r="H22" s="138"/>
      <c r="I22" s="23"/>
      <c r="J22" s="27"/>
      <c r="K22" s="27"/>
      <c r="L22" s="23"/>
      <c r="M22" s="28"/>
      <c r="N22" s="12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5.45" customHeight="1" x14ac:dyDescent="0.3">
      <c r="A23" s="12"/>
      <c r="B23" s="23"/>
      <c r="C23" s="23"/>
      <c r="D23" s="137"/>
      <c r="E23" s="137"/>
      <c r="F23" s="137"/>
      <c r="G23" s="138"/>
      <c r="H23" s="138"/>
      <c r="I23" s="23"/>
      <c r="J23" s="142" t="str" cm="1">
        <f t="array" ref="J23">IFERROR(PaybackwithIncentive, "-")</f>
        <v>-</v>
      </c>
      <c r="K23" s="142"/>
      <c r="L23" s="139" t="s">
        <v>53</v>
      </c>
      <c r="M23" s="139"/>
      <c r="N23" s="12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4.25" customHeight="1" x14ac:dyDescent="0.3">
      <c r="A24" s="12"/>
      <c r="B24" s="23"/>
      <c r="C24" s="23"/>
      <c r="D24" s="137"/>
      <c r="E24" s="137"/>
      <c r="F24" s="137"/>
      <c r="G24" s="138"/>
      <c r="H24" s="138"/>
      <c r="I24" s="23"/>
      <c r="J24" s="130"/>
      <c r="K24" s="130"/>
      <c r="L24" s="130"/>
      <c r="M24" s="130"/>
      <c r="N24" s="12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5" customHeight="1" x14ac:dyDescent="0.3">
      <c r="A25" s="12"/>
      <c r="B25" s="23"/>
      <c r="C25" s="23"/>
      <c r="D25" s="127"/>
      <c r="E25" s="127"/>
      <c r="F25" s="127"/>
      <c r="G25" s="128"/>
      <c r="H25" s="128"/>
      <c r="I25" s="23"/>
      <c r="J25" s="129"/>
      <c r="K25" s="129"/>
      <c r="L25" s="128"/>
      <c r="M25" s="128"/>
      <c r="N25" s="12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4.25" customHeight="1" x14ac:dyDescent="0.3">
      <c r="A26" s="12"/>
      <c r="B26" s="23"/>
      <c r="C26" s="23"/>
      <c r="D26" s="127"/>
      <c r="E26" s="127"/>
      <c r="F26" s="127"/>
      <c r="G26" s="128"/>
      <c r="H26" s="128"/>
      <c r="I26" s="23"/>
      <c r="J26" s="130"/>
      <c r="K26" s="130"/>
      <c r="L26" s="130"/>
      <c r="M26" s="130"/>
      <c r="N26" s="12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27.6" x14ac:dyDescent="0.3">
      <c r="A27" s="12"/>
      <c r="B27" s="22" t="s">
        <v>54</v>
      </c>
      <c r="C27" s="23"/>
      <c r="D27" s="30"/>
      <c r="E27" s="30"/>
      <c r="F27" s="30"/>
      <c r="G27" s="25"/>
      <c r="H27" s="30"/>
      <c r="I27" s="23"/>
      <c r="J27" s="29"/>
      <c r="K27" s="29"/>
      <c r="L27" s="29"/>
      <c r="M27" s="29"/>
      <c r="N27" s="12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27.6" x14ac:dyDescent="0.3">
      <c r="A28" s="12"/>
      <c r="B28" s="24"/>
      <c r="C28" s="23"/>
      <c r="D28" s="30"/>
      <c r="E28" s="30"/>
      <c r="F28" s="30"/>
      <c r="G28" s="25"/>
      <c r="H28" s="30"/>
      <c r="I28" s="23"/>
      <c r="J28" s="29"/>
      <c r="K28" s="29"/>
      <c r="L28" s="29"/>
      <c r="M28" s="29"/>
      <c r="N28" s="12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x14ac:dyDescent="0.3">
      <c r="A29" s="12"/>
      <c r="B29" s="31"/>
      <c r="C29" s="31"/>
      <c r="D29" s="26" t="s">
        <v>55</v>
      </c>
      <c r="E29" s="25"/>
      <c r="F29" s="25"/>
      <c r="G29" s="48" t="str">
        <f>IFERROR(((D22*1.363)/2204)*2.325581*5,"-")</f>
        <v>-</v>
      </c>
      <c r="H29" s="26"/>
      <c r="I29" s="23"/>
      <c r="J29" s="29"/>
      <c r="K29" s="29"/>
      <c r="L29" s="29"/>
      <c r="M29" s="29"/>
      <c r="N29" s="12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x14ac:dyDescent="0.3">
      <c r="A30" s="12"/>
      <c r="B30" s="31"/>
      <c r="C30" s="31"/>
      <c r="D30" s="26" t="s">
        <v>56</v>
      </c>
      <c r="E30" s="25"/>
      <c r="F30" s="25"/>
      <c r="G30" s="49" t="str">
        <f>IFERROR(((D22*1.363)/2204)*0.088261*5,"-")</f>
        <v>-</v>
      </c>
      <c r="H30" s="26"/>
      <c r="I30" s="23"/>
      <c r="J30" s="29"/>
      <c r="K30" s="29"/>
      <c r="L30" s="29"/>
      <c r="M30" s="29"/>
      <c r="N30" s="12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x14ac:dyDescent="0.3">
      <c r="A31" s="12"/>
      <c r="B31" s="32"/>
      <c r="C31" s="32"/>
      <c r="D31" s="50" t="s">
        <v>57</v>
      </c>
      <c r="E31" s="50"/>
      <c r="F31" s="50"/>
      <c r="G31" s="51" t="str">
        <f>IFERROR(((D22*1.363)/2204)*0.227273*5,"-")</f>
        <v>-</v>
      </c>
      <c r="H31" s="50"/>
      <c r="I31" s="21"/>
      <c r="J31" s="21"/>
      <c r="K31" s="21"/>
      <c r="L31" s="21"/>
      <c r="M31" s="21"/>
      <c r="N31" s="12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7.5" customHeight="1" x14ac:dyDescent="0.3">
      <c r="A32" s="12"/>
      <c r="B32" s="32"/>
      <c r="C32" s="32"/>
      <c r="D32" s="33"/>
      <c r="E32" s="33"/>
      <c r="F32" s="33"/>
      <c r="G32" s="34"/>
      <c r="H32" s="33"/>
      <c r="I32" s="21"/>
      <c r="J32" s="21"/>
      <c r="K32" s="21"/>
      <c r="L32" s="21"/>
      <c r="M32" s="21"/>
      <c r="N32" s="12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6.5" customHeight="1" x14ac:dyDescent="0.3">
      <c r="A33" s="12"/>
      <c r="B33" s="55"/>
      <c r="C33" s="57" t="s">
        <v>68</v>
      </c>
      <c r="D33" s="55"/>
      <c r="E33" s="55"/>
      <c r="F33" s="55"/>
      <c r="G33" s="55"/>
      <c r="H33" s="55"/>
      <c r="I33" s="55"/>
      <c r="J33" s="55"/>
      <c r="K33" s="55"/>
      <c r="L33" s="55"/>
      <c r="M33" s="35"/>
      <c r="N33" s="12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2.75" customHeight="1" x14ac:dyDescent="0.3">
      <c r="A34" s="12"/>
      <c r="B34" s="52"/>
      <c r="C34" s="58" t="s">
        <v>69</v>
      </c>
      <c r="D34" s="52"/>
      <c r="E34" s="52"/>
      <c r="F34" s="52"/>
      <c r="G34" s="52"/>
      <c r="H34" s="52"/>
      <c r="I34" s="52"/>
      <c r="J34" s="52"/>
      <c r="K34" s="52"/>
      <c r="L34" s="52"/>
      <c r="M34" s="35"/>
      <c r="N34" s="12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2" customHeight="1" x14ac:dyDescent="0.3">
      <c r="A35" s="12"/>
      <c r="B35" s="52"/>
      <c r="C35" s="56" t="s">
        <v>70</v>
      </c>
      <c r="D35" s="52"/>
      <c r="E35" s="52"/>
      <c r="F35" s="52"/>
      <c r="G35" s="52"/>
      <c r="H35" s="52"/>
      <c r="I35" s="52"/>
      <c r="J35" s="52"/>
      <c r="K35" s="52"/>
      <c r="L35" s="52"/>
      <c r="M35" s="35"/>
      <c r="N35" s="12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x14ac:dyDescent="0.3">
      <c r="A36" s="12"/>
      <c r="B36" s="55"/>
      <c r="C36" s="55" t="str">
        <f>"b. Energy savings shown above are estimated stipulated savings at the customer meter."</f>
        <v>b. Energy savings shown above are estimated stipulated savings at the customer meter.</v>
      </c>
      <c r="D36" s="55"/>
      <c r="E36" s="55"/>
      <c r="F36" s="55"/>
      <c r="G36" s="55"/>
      <c r="H36" s="55"/>
      <c r="I36" s="55"/>
      <c r="J36" s="55"/>
      <c r="K36" s="55"/>
      <c r="L36" s="55"/>
      <c r="M36" s="35"/>
      <c r="N36" s="12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3.8" customHeight="1" x14ac:dyDescent="0.3">
      <c r="A37" s="12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35"/>
      <c r="N37" s="12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4.25" customHeight="1" x14ac:dyDescent="0.3">
      <c r="A38" s="12"/>
      <c r="B38" s="140" t="s">
        <v>1009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2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4.25" customHeight="1" x14ac:dyDescent="0.3">
      <c r="A39" s="12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2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s="10" customFormat="1" ht="6" customHeight="1" x14ac:dyDescent="0.3">
      <c r="A40" s="38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8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s="10" customFormat="1" ht="14.25" customHeight="1" x14ac:dyDescent="0.3">
      <c r="A41" s="41"/>
      <c r="B41" s="46" t="s">
        <v>58</v>
      </c>
      <c r="C41" s="47" t="s">
        <v>267</v>
      </c>
      <c r="D41" s="44"/>
      <c r="E41" s="44"/>
      <c r="F41" s="44"/>
      <c r="G41" s="44"/>
      <c r="H41" s="44"/>
      <c r="I41" s="44"/>
      <c r="J41" s="44"/>
      <c r="K41" s="44"/>
      <c r="L41" s="44"/>
      <c r="M41" s="43"/>
      <c r="N41" s="41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s="10" customFormat="1" ht="14.25" customHeight="1" x14ac:dyDescent="0.3">
      <c r="A42" s="41"/>
      <c r="B42" s="46" t="s">
        <v>59</v>
      </c>
      <c r="C42" s="47" t="s">
        <v>988</v>
      </c>
      <c r="D42" s="44"/>
      <c r="E42" s="44"/>
      <c r="F42" s="44"/>
      <c r="G42" s="44"/>
      <c r="H42" s="44"/>
      <c r="I42" s="131" t="s">
        <v>989</v>
      </c>
      <c r="J42" s="131"/>
      <c r="K42" s="131"/>
      <c r="L42" s="131"/>
      <c r="M42" s="131"/>
      <c r="N42" s="41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s="10" customFormat="1" ht="14.25" customHeight="1" x14ac:dyDescent="0.3">
      <c r="A43" s="41"/>
      <c r="B43" s="46" t="s">
        <v>60</v>
      </c>
      <c r="C43" s="47" t="s">
        <v>268</v>
      </c>
      <c r="D43" s="43"/>
      <c r="E43" s="43"/>
      <c r="F43" s="43"/>
      <c r="G43" s="43"/>
      <c r="H43" s="43"/>
      <c r="I43" s="131"/>
      <c r="J43" s="131"/>
      <c r="K43" s="131"/>
      <c r="L43" s="131"/>
      <c r="M43" s="131"/>
      <c r="N43" s="41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s="10" customFormat="1" ht="13.8" customHeight="1" x14ac:dyDescent="0.3">
      <c r="A44" s="41"/>
      <c r="B44" s="46" t="s">
        <v>61</v>
      </c>
      <c r="C44" s="47" t="s">
        <v>973</v>
      </c>
      <c r="D44" s="43"/>
      <c r="E44" s="43"/>
      <c r="F44" s="43"/>
      <c r="G44" s="43"/>
      <c r="H44" s="43"/>
      <c r="I44" s="43"/>
      <c r="J44" s="132" t="str">
        <f>HYPERLINK("https://wattsmartbusiness.com/apply", "Online Application")</f>
        <v>Online Application</v>
      </c>
      <c r="K44" s="132"/>
      <c r="L44" s="132"/>
      <c r="M44" s="43"/>
      <c r="N44" s="41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s="10" customFormat="1" ht="13.2" customHeight="1" x14ac:dyDescent="0.3">
      <c r="A45" s="41"/>
      <c r="B45" s="46"/>
      <c r="C45" s="47" t="s">
        <v>269</v>
      </c>
      <c r="D45" s="44"/>
      <c r="E45" s="44"/>
      <c r="F45" s="44"/>
      <c r="G45" s="44"/>
      <c r="H45" s="43"/>
      <c r="I45" s="43"/>
      <c r="J45" s="132" t="str">
        <f>HYPERLINK("https://www.rockymountainpower.net/content/dam/pcorp/documents/en/rockymountainpower/savings-energy-choices/wattsmart-business/utah/UT_wattsmart_Business_Lighting_LED_Post-Purchase_Application.pdf", "Post-Install Application")</f>
        <v>Post-Install Application</v>
      </c>
      <c r="K45" s="132"/>
      <c r="L45" s="132"/>
      <c r="M45" s="43"/>
      <c r="N45" s="41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s="10" customFormat="1" ht="5.7" customHeight="1" x14ac:dyDescent="0.3">
      <c r="A46" s="41"/>
      <c r="B46" s="42"/>
      <c r="C46" s="45"/>
      <c r="D46" s="44"/>
      <c r="E46" s="44"/>
      <c r="F46" s="44"/>
      <c r="G46" s="44"/>
      <c r="H46" s="44"/>
      <c r="I46" s="44"/>
      <c r="J46" s="44"/>
      <c r="K46" s="44"/>
      <c r="L46" s="44"/>
      <c r="M46" s="43"/>
      <c r="N46" s="41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7.5" customHeight="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x14ac:dyDescent="0.3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x14ac:dyDescent="0.3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x14ac:dyDescent="0.3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x14ac:dyDescent="0.3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x14ac:dyDescent="0.3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x14ac:dyDescent="0.3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x14ac:dyDescent="0.3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x14ac:dyDescent="0.3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x14ac:dyDescent="0.3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x14ac:dyDescent="0.3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x14ac:dyDescent="0.3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x14ac:dyDescent="0.3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x14ac:dyDescent="0.3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x14ac:dyDescent="0.3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x14ac:dyDescent="0.3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x14ac:dyDescent="0.3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x14ac:dyDescent="0.3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x14ac:dyDescent="0.3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x14ac:dyDescent="0.3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x14ac:dyDescent="0.3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x14ac:dyDescent="0.3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x14ac:dyDescent="0.3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x14ac:dyDescent="0.3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x14ac:dyDescent="0.3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x14ac:dyDescent="0.3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x14ac:dyDescent="0.3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</sheetData>
  <sheetProtection algorithmName="SHA-512" hashValue="L2DEt85Xd9QvBjA68a5185yycCT3u1eW9u0dsevAu3OpaSdlH5Nr/DxVVW74DaOGT5vge6G723fSBbPUsv2YHg==" saltValue="CObKBWVhPz1unh8oCmtSeg==" spinCount="100000" sheet="1" objects="1" scenarios="1"/>
  <mergeCells count="21">
    <mergeCell ref="I42:M43"/>
    <mergeCell ref="J45:L45"/>
    <mergeCell ref="J44:L44"/>
    <mergeCell ref="K3:M5"/>
    <mergeCell ref="B3:D5"/>
    <mergeCell ref="D17:F20"/>
    <mergeCell ref="G17:H20"/>
    <mergeCell ref="D22:F24"/>
    <mergeCell ref="G22:H24"/>
    <mergeCell ref="L23:M23"/>
    <mergeCell ref="J24:M24"/>
    <mergeCell ref="B8:M9"/>
    <mergeCell ref="D12:F15"/>
    <mergeCell ref="J23:K23"/>
    <mergeCell ref="G12:J15"/>
    <mergeCell ref="B38:M39"/>
    <mergeCell ref="D25:F26"/>
    <mergeCell ref="G25:H26"/>
    <mergeCell ref="J25:K25"/>
    <mergeCell ref="L25:M25"/>
    <mergeCell ref="J26:M26"/>
  </mergeCells>
  <hyperlinks>
    <hyperlink ref="B6" r:id="rId1" xr:uid="{CB473973-80E9-489D-889D-F5CF5C084AA0}"/>
  </hyperlinks>
  <pageMargins left="0.45" right="0.45" top="0.75" bottom="0.75" header="0.3" footer="0.3"/>
  <pageSetup scale="94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0AC5-17FB-46C5-8ED5-4C4ECB8375FA}">
  <dimension ref="A1:V46"/>
  <sheetViews>
    <sheetView workbookViewId="0">
      <selection activeCell="A2" sqref="A2"/>
    </sheetView>
  </sheetViews>
  <sheetFormatPr defaultRowHeight="14.4" x14ac:dyDescent="0.3"/>
  <cols>
    <col min="1" max="1" width="8.77734375" bestFit="1" customWidth="1"/>
    <col min="2" max="2" width="14.6640625" bestFit="1" customWidth="1"/>
    <col min="3" max="3" width="16.109375" bestFit="1" customWidth="1"/>
    <col min="4" max="4" width="18.88671875" bestFit="1" customWidth="1"/>
    <col min="5" max="5" width="62.109375" bestFit="1" customWidth="1"/>
    <col min="6" max="6" width="18" customWidth="1"/>
    <col min="9" max="11" width="0.21875" customWidth="1"/>
    <col min="12" max="12" width="8.33203125" customWidth="1"/>
    <col min="13" max="13" width="12.109375" customWidth="1"/>
    <col min="15" max="15" width="18.5546875" bestFit="1" customWidth="1"/>
    <col min="16" max="16" width="12" bestFit="1" customWidth="1"/>
    <col min="17" max="19" width="0.21875" customWidth="1"/>
    <col min="22" max="22" width="12.21875" bestFit="1" customWidth="1"/>
  </cols>
  <sheetData>
    <row r="1" spans="1:22" s="98" customFormat="1" x14ac:dyDescent="0.3">
      <c r="A1" t="s">
        <v>979</v>
      </c>
      <c r="B1" s="98" t="s">
        <v>564</v>
      </c>
      <c r="C1" t="s">
        <v>977</v>
      </c>
      <c r="D1" t="s">
        <v>978</v>
      </c>
      <c r="E1" s="98" t="str">
        <f>'Express Input Form'!K12</f>
        <v>DSM Measure Identifier</v>
      </c>
      <c r="F1" s="98" t="s">
        <v>531</v>
      </c>
      <c r="G1" s="98" t="str">
        <f>'Express Input Form'!F12</f>
        <v>Fixture Wattage</v>
      </c>
      <c r="H1" s="98" t="str">
        <f>'Express Input Form'!G12</f>
        <v>Quantity</v>
      </c>
      <c r="I1" s="98" t="s">
        <v>980</v>
      </c>
      <c r="J1" s="98" t="s">
        <v>532</v>
      </c>
      <c r="K1" s="98" t="s">
        <v>533</v>
      </c>
      <c r="L1" s="98" t="s">
        <v>968</v>
      </c>
      <c r="M1" s="98" t="s">
        <v>534</v>
      </c>
      <c r="N1" s="98" t="s">
        <v>535</v>
      </c>
      <c r="O1" s="98" t="s">
        <v>536</v>
      </c>
      <c r="P1" s="98" t="s">
        <v>537</v>
      </c>
      <c r="Q1" s="98" t="s">
        <v>538</v>
      </c>
      <c r="R1" s="98" t="s">
        <v>539</v>
      </c>
      <c r="S1" s="98" t="s">
        <v>540</v>
      </c>
      <c r="T1" s="98" t="s">
        <v>541</v>
      </c>
      <c r="U1" s="98" t="s">
        <v>542</v>
      </c>
      <c r="V1" s="98" t="s">
        <v>543</v>
      </c>
    </row>
    <row r="2" spans="1:22" x14ac:dyDescent="0.3">
      <c r="A2" s="98">
        <f>'Express Input Form'!$W$3</f>
        <v>0</v>
      </c>
      <c r="B2" t="str">
        <f>IFERROR(VLOOKUP(E2,'Measure Table'!$D$2:$R$179,3,FALSE), "")</f>
        <v/>
      </c>
      <c r="C2" t="str">
        <f>CONCATENATE(A2,"-",F2)</f>
        <v>0-</v>
      </c>
      <c r="D2" s="101">
        <f>'Express Input Form'!$W$5</f>
        <v>0</v>
      </c>
      <c r="E2" t="str">
        <f>'Express Input Form'!K13</f>
        <v/>
      </c>
      <c r="F2" t="str">
        <f>IFERROR(VLOOKUP(E2,'Measure Table'!$D$2:$R$179, 2, FALSE),"")</f>
        <v/>
      </c>
      <c r="G2">
        <f>'Express Input Form'!F13</f>
        <v>0</v>
      </c>
      <c r="H2">
        <f>'Express Input Form'!G13</f>
        <v>0</v>
      </c>
      <c r="J2" s="100"/>
      <c r="L2" s="103" t="str">
        <f>'Express Input Form'!M13</f>
        <v/>
      </c>
      <c r="M2" s="103" t="str">
        <f t="shared" ref="M2:M36" si="0">IFERROR((J2*kWh_Rate)+(K2*kW_Rate),"")</f>
        <v/>
      </c>
      <c r="N2" s="103" t="str" cm="1">
        <f t="array" ref="N2">IFERROR(IF(TotalCappedIncentive&lt;&gt;Incentives_Total,"TRUE", "FALSE"),"")</f>
        <v/>
      </c>
      <c r="O2" t="str">
        <f>_xlfn.CONCAT(Summary!$M$6, " ", TEXT(Summary!$M$7,"mm/dd/yyyy"))</f>
        <v>Express LT V7/11/2025</v>
      </c>
      <c r="P2" cm="1">
        <f t="array" ref="P2:Q2">IFERROR(VLOOKUP('Express Input Form'!G9:H9,'Dropdown Tables'!B2:C23,2,FALSE),)</f>
        <v>0</v>
      </c>
      <c r="Q2">
        <v>0</v>
      </c>
      <c r="U2" t="str">
        <f>IFERROR(L2/M2,"")</f>
        <v/>
      </c>
      <c r="V2" s="104" t="str">
        <f>IFERROR((L2-'Express Input Form'!T13)/M2,"")</f>
        <v/>
      </c>
    </row>
    <row r="3" spans="1:22" x14ac:dyDescent="0.3">
      <c r="A3" s="98">
        <f>'Express Input Form'!$W$3</f>
        <v>0</v>
      </c>
      <c r="B3" t="str">
        <f>IFERROR(VLOOKUP(E3,'Measure Table'!$D$2:$R$179,3,FALSE), "")</f>
        <v/>
      </c>
      <c r="C3" t="str">
        <f t="shared" ref="C3:C36" si="1">CONCATENATE(A3,"-",F3)</f>
        <v>0-</v>
      </c>
      <c r="D3" s="101">
        <f>'Express Input Form'!$W$5</f>
        <v>0</v>
      </c>
      <c r="E3" t="str">
        <f>'Express Input Form'!K14</f>
        <v/>
      </c>
      <c r="F3" t="str">
        <f>IFERROR(VLOOKUP(E3,'Measure Table'!$D$2:$R$179, 2, FALSE),"")</f>
        <v/>
      </c>
      <c r="G3">
        <f>'Express Input Form'!F14</f>
        <v>0</v>
      </c>
      <c r="H3">
        <f>'Express Input Form'!G14</f>
        <v>0</v>
      </c>
      <c r="J3" s="100"/>
      <c r="L3" s="103" t="str">
        <f>'Express Input Form'!M14</f>
        <v/>
      </c>
      <c r="M3" s="103" t="str">
        <f t="shared" si="0"/>
        <v/>
      </c>
      <c r="N3" s="103" t="str" cm="1">
        <f t="array" ref="N3">IFERROR(IF(TotalCappedIncentive&lt;&gt;Incentives_Total,"TRUE", "FALSE"),"")</f>
        <v/>
      </c>
      <c r="O3" t="str">
        <f>_xlfn.CONCAT(Summary!$M$6, " ", TEXT(Summary!$M$7,"mm/dd/yyyy"))</f>
        <v>Express LT V7/11/2025</v>
      </c>
      <c r="P3" cm="1">
        <f t="array" ref="P3:Q3">IFERROR(VLOOKUP('Express Input Form'!G10:H10,'Dropdown Tables'!B3:C24,2,FALSE),)</f>
        <v>0</v>
      </c>
      <c r="Q3">
        <v>0</v>
      </c>
      <c r="U3" t="str">
        <f t="shared" ref="U3:U36" si="2">IFERROR(L3/M3,"")</f>
        <v/>
      </c>
      <c r="V3" s="104" t="str">
        <f>IFERROR((L3-'Express Input Form'!T14)/M3,"")</f>
        <v/>
      </c>
    </row>
    <row r="4" spans="1:22" x14ac:dyDescent="0.3">
      <c r="A4" s="98">
        <f>'Express Input Form'!$W$3</f>
        <v>0</v>
      </c>
      <c r="B4" t="str">
        <f>IFERROR(VLOOKUP(E4,'Measure Table'!$D$2:$R$179,3,FALSE), "")</f>
        <v/>
      </c>
      <c r="C4" t="str">
        <f t="shared" si="1"/>
        <v>0-</v>
      </c>
      <c r="D4" s="101">
        <f>'Express Input Form'!$W$5</f>
        <v>0</v>
      </c>
      <c r="E4" t="str">
        <f>'Express Input Form'!K15</f>
        <v/>
      </c>
      <c r="F4" t="str">
        <f>IFERROR(VLOOKUP(E4,'Measure Table'!$D$2:$R$179, 2, FALSE),"")</f>
        <v/>
      </c>
      <c r="G4">
        <f>'Express Input Form'!F15</f>
        <v>0</v>
      </c>
      <c r="H4">
        <f>'Express Input Form'!G15</f>
        <v>0</v>
      </c>
      <c r="J4" s="100"/>
      <c r="L4" s="103" t="str">
        <f>'Express Input Form'!M15</f>
        <v/>
      </c>
      <c r="M4" s="103" t="str">
        <f t="shared" si="0"/>
        <v/>
      </c>
      <c r="N4" s="103" t="str" cm="1">
        <f t="array" ref="N4">IFERROR(IF(TotalCappedIncentive&lt;&gt;Incentives_Total,"TRUE", "FALSE"),"")</f>
        <v/>
      </c>
      <c r="O4" t="str">
        <f>_xlfn.CONCAT(Summary!$M$6, " ", TEXT(Summary!$M$7,"mm/dd/yyyy"))</f>
        <v>Express LT V7/11/2025</v>
      </c>
      <c r="P4" cm="1">
        <f t="array" ref="P4:Q4">IFERROR(VLOOKUP('Express Input Form'!G11:H11,'Dropdown Tables'!B4:C25,2,FALSE),)</f>
        <v>0</v>
      </c>
      <c r="Q4">
        <v>0</v>
      </c>
      <c r="U4" t="str">
        <f t="shared" si="2"/>
        <v/>
      </c>
      <c r="V4" s="104" t="str">
        <f>IFERROR((L4-'Express Input Form'!T15)/M4,"")</f>
        <v/>
      </c>
    </row>
    <row r="5" spans="1:22" x14ac:dyDescent="0.3">
      <c r="A5" s="98">
        <f>'Express Input Form'!$W$3</f>
        <v>0</v>
      </c>
      <c r="B5" t="str">
        <f>IFERROR(VLOOKUP(E5,'Measure Table'!$D$2:$R$179,3,FALSE), "")</f>
        <v/>
      </c>
      <c r="C5" t="str">
        <f t="shared" si="1"/>
        <v>0-</v>
      </c>
      <c r="D5" s="101">
        <f>'Express Input Form'!$W$5</f>
        <v>0</v>
      </c>
      <c r="E5" t="str">
        <f>'Express Input Form'!K16</f>
        <v/>
      </c>
      <c r="F5" t="str">
        <f>IFERROR(VLOOKUP(E5,'Measure Table'!$D$2:$R$179, 2, FALSE),"")</f>
        <v/>
      </c>
      <c r="G5">
        <f>'Express Input Form'!F16</f>
        <v>0</v>
      </c>
      <c r="H5">
        <f>'Express Input Form'!G16</f>
        <v>0</v>
      </c>
      <c r="J5" s="100"/>
      <c r="L5" s="103" t="str">
        <f>'Express Input Form'!M16</f>
        <v/>
      </c>
      <c r="M5" s="103" t="str">
        <f t="shared" si="0"/>
        <v/>
      </c>
      <c r="N5" s="103" t="str" cm="1">
        <f t="array" ref="N5">IFERROR(IF(TotalCappedIncentive&lt;&gt;Incentives_Total,"TRUE", "FALSE"),"")</f>
        <v/>
      </c>
      <c r="O5" t="str">
        <f>_xlfn.CONCAT(Summary!$M$6, " ", TEXT(Summary!$M$7,"mm/dd/yyyy"))</f>
        <v>Express LT V7/11/2025</v>
      </c>
      <c r="P5" cm="1">
        <f t="array" ref="P5:Q5">IFERROR(VLOOKUP('Express Input Form'!G12:H12,'Dropdown Tables'!B5:C26,2,FALSE),)</f>
        <v>0</v>
      </c>
      <c r="Q5">
        <v>0</v>
      </c>
      <c r="U5" t="str">
        <f t="shared" si="2"/>
        <v/>
      </c>
      <c r="V5" s="104" t="str">
        <f>IFERROR((L5-'Express Input Form'!T16)/M5,"")</f>
        <v/>
      </c>
    </row>
    <row r="6" spans="1:22" x14ac:dyDescent="0.3">
      <c r="A6" s="98">
        <f>'Express Input Form'!$W$3</f>
        <v>0</v>
      </c>
      <c r="B6" t="str">
        <f>IFERROR(VLOOKUP(E6,'Measure Table'!$D$2:$R$179,3,FALSE), "")</f>
        <v/>
      </c>
      <c r="C6" t="str">
        <f t="shared" si="1"/>
        <v>0-</v>
      </c>
      <c r="D6" s="101">
        <f>'Express Input Form'!$W$5</f>
        <v>0</v>
      </c>
      <c r="E6" t="str">
        <f>'Express Input Form'!K17</f>
        <v/>
      </c>
      <c r="F6" t="str">
        <f>IFERROR(VLOOKUP(E6,'Measure Table'!$D$2:$R$179, 2, FALSE),"")</f>
        <v/>
      </c>
      <c r="G6">
        <f>'Express Input Form'!F17</f>
        <v>0</v>
      </c>
      <c r="H6">
        <f>'Express Input Form'!G17</f>
        <v>0</v>
      </c>
      <c r="J6" s="100"/>
      <c r="L6" s="103" t="str">
        <f>'Express Input Form'!M17</f>
        <v/>
      </c>
      <c r="M6" s="103" t="str">
        <f t="shared" si="0"/>
        <v/>
      </c>
      <c r="N6" s="103" t="str" cm="1">
        <f t="array" ref="N6">IFERROR(IF(TotalCappedIncentive&lt;&gt;Incentives_Total,"TRUE", "FALSE"),"")</f>
        <v/>
      </c>
      <c r="O6" t="str">
        <f>_xlfn.CONCAT(Summary!$M$6, " ", TEXT(Summary!$M$7,"mm/dd/yyyy"))</f>
        <v>Express LT V7/11/2025</v>
      </c>
      <c r="P6" cm="1">
        <f t="array" ref="P6:Q6">IFERROR(VLOOKUP('Express Input Form'!G13:H13,'Dropdown Tables'!B6:C27,2,FALSE),)</f>
        <v>0</v>
      </c>
      <c r="Q6">
        <v>0</v>
      </c>
      <c r="U6" t="str">
        <f t="shared" si="2"/>
        <v/>
      </c>
      <c r="V6" s="104" t="str">
        <f>IFERROR((L6-'Express Input Form'!T17)/M6,"")</f>
        <v/>
      </c>
    </row>
    <row r="7" spans="1:22" x14ac:dyDescent="0.3">
      <c r="A7" s="98">
        <f>'Express Input Form'!$W$3</f>
        <v>0</v>
      </c>
      <c r="B7" t="str">
        <f>IFERROR(VLOOKUP(E7,'Measure Table'!$D$2:$R$179,3,FALSE), "")</f>
        <v/>
      </c>
      <c r="C7" t="str">
        <f t="shared" si="1"/>
        <v>0-</v>
      </c>
      <c r="D7" s="101">
        <f>'Express Input Form'!$W$5</f>
        <v>0</v>
      </c>
      <c r="E7" t="str">
        <f>'Express Input Form'!K18</f>
        <v/>
      </c>
      <c r="F7" t="str">
        <f>IFERROR(VLOOKUP(E7,'Measure Table'!$D$2:$R$179, 2, FALSE),"")</f>
        <v/>
      </c>
      <c r="G7">
        <f>'Express Input Form'!F18</f>
        <v>0</v>
      </c>
      <c r="H7">
        <f>'Express Input Form'!G18</f>
        <v>0</v>
      </c>
      <c r="J7" s="100"/>
      <c r="L7" s="103" t="str">
        <f>'Express Input Form'!M18</f>
        <v/>
      </c>
      <c r="M7" s="103" t="str">
        <f t="shared" si="0"/>
        <v/>
      </c>
      <c r="N7" s="103" t="str" cm="1">
        <f t="array" ref="N7">IFERROR(IF(TotalCappedIncentive&lt;&gt;Incentives_Total,"TRUE", "FALSE"),"")</f>
        <v/>
      </c>
      <c r="O7" t="str">
        <f>_xlfn.CONCAT(Summary!$M$6, " ", TEXT(Summary!$M$7,"mm/dd/yyyy"))</f>
        <v>Express LT V7/11/2025</v>
      </c>
      <c r="P7" cm="1">
        <f t="array" ref="P7:Q7">IFERROR(VLOOKUP('Express Input Form'!G14:H14,'Dropdown Tables'!B7:C28,2,FALSE),)</f>
        <v>0</v>
      </c>
      <c r="Q7">
        <v>0</v>
      </c>
      <c r="U7" t="str">
        <f t="shared" si="2"/>
        <v/>
      </c>
      <c r="V7" s="104" t="str">
        <f>IFERROR((L7-'Express Input Form'!T18)/M7,"")</f>
        <v/>
      </c>
    </row>
    <row r="8" spans="1:22" x14ac:dyDescent="0.3">
      <c r="A8" s="98">
        <f>'Express Input Form'!$W$3</f>
        <v>0</v>
      </c>
      <c r="B8" t="str">
        <f>IFERROR(VLOOKUP(E8,'Measure Table'!$D$2:$R$179,3,FALSE), "")</f>
        <v/>
      </c>
      <c r="C8" t="str">
        <f t="shared" si="1"/>
        <v>0-</v>
      </c>
      <c r="D8" s="101">
        <f>'Express Input Form'!$W$5</f>
        <v>0</v>
      </c>
      <c r="E8" t="str">
        <f>'Express Input Form'!K19</f>
        <v/>
      </c>
      <c r="F8" t="str">
        <f>IFERROR(VLOOKUP(E8,'Measure Table'!$D$2:$R$179, 2, FALSE),"")</f>
        <v/>
      </c>
      <c r="G8">
        <f>'Express Input Form'!F19</f>
        <v>0</v>
      </c>
      <c r="H8">
        <f>'Express Input Form'!G19</f>
        <v>0</v>
      </c>
      <c r="J8" s="100"/>
      <c r="L8" s="103" t="str">
        <f>'Express Input Form'!M19</f>
        <v/>
      </c>
      <c r="M8" s="103" t="str">
        <f t="shared" si="0"/>
        <v/>
      </c>
      <c r="N8" s="103" t="str" cm="1">
        <f t="array" ref="N8">IFERROR(IF(TotalCappedIncentive&lt;&gt;Incentives_Total,"TRUE", "FALSE"),"")</f>
        <v/>
      </c>
      <c r="O8" t="str">
        <f>_xlfn.CONCAT(Summary!$M$6, " ", TEXT(Summary!$M$7,"mm/dd/yyyy"))</f>
        <v>Express LT V7/11/2025</v>
      </c>
      <c r="P8" cm="1">
        <f t="array" ref="P8:Q8">IFERROR(VLOOKUP('Express Input Form'!G15:H15,'Dropdown Tables'!B8:C29,2,FALSE),)</f>
        <v>0</v>
      </c>
      <c r="Q8">
        <v>0</v>
      </c>
      <c r="U8" t="str">
        <f t="shared" si="2"/>
        <v/>
      </c>
      <c r="V8" s="104" t="str">
        <f>IFERROR((L8-'Express Input Form'!T19)/M8,"")</f>
        <v/>
      </c>
    </row>
    <row r="9" spans="1:22" x14ac:dyDescent="0.3">
      <c r="A9" s="98">
        <f>'Express Input Form'!$W$3</f>
        <v>0</v>
      </c>
      <c r="B9" t="str">
        <f>IFERROR(VLOOKUP(E9,'Measure Table'!$D$2:$R$179,3,FALSE), "")</f>
        <v/>
      </c>
      <c r="C9" t="str">
        <f t="shared" si="1"/>
        <v>0-</v>
      </c>
      <c r="D9" s="101">
        <f>'Express Input Form'!$W$5</f>
        <v>0</v>
      </c>
      <c r="E9" t="str">
        <f>'Express Input Form'!K20</f>
        <v/>
      </c>
      <c r="F9" t="str">
        <f>IFERROR(VLOOKUP(E9,'Measure Table'!$D$2:$R$179, 2, FALSE),"")</f>
        <v/>
      </c>
      <c r="G9">
        <f>'Express Input Form'!F20</f>
        <v>0</v>
      </c>
      <c r="H9">
        <f>'Express Input Form'!G20</f>
        <v>0</v>
      </c>
      <c r="J9" s="100"/>
      <c r="L9" s="103" t="str">
        <f>'Express Input Form'!M20</f>
        <v/>
      </c>
      <c r="M9" s="103" t="str">
        <f t="shared" si="0"/>
        <v/>
      </c>
      <c r="N9" s="103" t="str" cm="1">
        <f t="array" ref="N9">IFERROR(IF(TotalCappedIncentive&lt;&gt;Incentives_Total,"TRUE", "FALSE"),"")</f>
        <v/>
      </c>
      <c r="O9" t="str">
        <f>_xlfn.CONCAT(Summary!$M$6, " ", TEXT(Summary!$M$7,"mm/dd/yyyy"))</f>
        <v>Express LT V7/11/2025</v>
      </c>
      <c r="P9" cm="1">
        <f t="array" ref="P9:Q9">IFERROR(VLOOKUP('Express Input Form'!G16:H16,'Dropdown Tables'!B9:C30,2,FALSE),)</f>
        <v>0</v>
      </c>
      <c r="Q9">
        <v>0</v>
      </c>
      <c r="U9" t="str">
        <f t="shared" si="2"/>
        <v/>
      </c>
      <c r="V9" s="104" t="str">
        <f>IFERROR((L9-'Express Input Form'!T20)/M9,"")</f>
        <v/>
      </c>
    </row>
    <row r="10" spans="1:22" x14ac:dyDescent="0.3">
      <c r="A10" s="98">
        <f>'Express Input Form'!$W$3</f>
        <v>0</v>
      </c>
      <c r="B10" t="str">
        <f>IFERROR(VLOOKUP(E10,'Measure Table'!$D$2:$R$179,3,FALSE), "")</f>
        <v/>
      </c>
      <c r="C10" t="str">
        <f t="shared" si="1"/>
        <v>0-</v>
      </c>
      <c r="D10" s="101">
        <f>'Express Input Form'!$W$5</f>
        <v>0</v>
      </c>
      <c r="E10" t="str">
        <f>'Express Input Form'!K21</f>
        <v/>
      </c>
      <c r="F10" t="str">
        <f>IFERROR(VLOOKUP(E10,'Measure Table'!$D$2:$R$179, 2, FALSE),"")</f>
        <v/>
      </c>
      <c r="G10">
        <f>'Express Input Form'!F21</f>
        <v>0</v>
      </c>
      <c r="H10">
        <f>'Express Input Form'!G21</f>
        <v>0</v>
      </c>
      <c r="J10" s="100"/>
      <c r="L10" s="103" t="str">
        <f>'Express Input Form'!M21</f>
        <v/>
      </c>
      <c r="M10" s="103" t="str">
        <f t="shared" si="0"/>
        <v/>
      </c>
      <c r="N10" s="103" t="str" cm="1">
        <f t="array" ref="N10">IFERROR(IF(TotalCappedIncentive&lt;&gt;Incentives_Total,"TRUE", "FALSE"),"")</f>
        <v/>
      </c>
      <c r="O10" t="str">
        <f>_xlfn.CONCAT(Summary!$M$6, " ", TEXT(Summary!$M$7,"mm/dd/yyyy"))</f>
        <v>Express LT V7/11/2025</v>
      </c>
      <c r="P10" cm="1">
        <f t="array" ref="P10:Q10">IFERROR(VLOOKUP('Express Input Form'!G17:H17,'Dropdown Tables'!B10:C31,2,FALSE),)</f>
        <v>0</v>
      </c>
      <c r="Q10">
        <v>0</v>
      </c>
      <c r="U10" t="str">
        <f t="shared" si="2"/>
        <v/>
      </c>
      <c r="V10" s="104" t="str">
        <f>IFERROR((L10-'Express Input Form'!T21)/M10,"")</f>
        <v/>
      </c>
    </row>
    <row r="11" spans="1:22" x14ac:dyDescent="0.3">
      <c r="A11" s="98">
        <f>'Express Input Form'!$W$3</f>
        <v>0</v>
      </c>
      <c r="B11" t="str">
        <f>IFERROR(VLOOKUP(E11,'Measure Table'!$D$2:$R$179,3,FALSE), "")</f>
        <v/>
      </c>
      <c r="C11" t="str">
        <f t="shared" si="1"/>
        <v>0-</v>
      </c>
      <c r="D11" s="101">
        <f>'Express Input Form'!$W$5</f>
        <v>0</v>
      </c>
      <c r="E11" t="str">
        <f>'Express Input Form'!K22</f>
        <v/>
      </c>
      <c r="F11" t="str">
        <f>IFERROR(VLOOKUP(E11,'Measure Table'!$D$2:$R$179, 2, FALSE),"")</f>
        <v/>
      </c>
      <c r="G11">
        <f>'Express Input Form'!F22</f>
        <v>0</v>
      </c>
      <c r="H11">
        <f>'Express Input Form'!G22</f>
        <v>0</v>
      </c>
      <c r="J11" s="100"/>
      <c r="L11" s="103" t="str">
        <f>'Express Input Form'!M22</f>
        <v/>
      </c>
      <c r="M11" s="103" t="str">
        <f t="shared" si="0"/>
        <v/>
      </c>
      <c r="N11" s="103" t="str" cm="1">
        <f t="array" ref="N11">IFERROR(IF(TotalCappedIncentive&lt;&gt;Incentives_Total,"TRUE", "FALSE"),"")</f>
        <v/>
      </c>
      <c r="O11" t="str">
        <f>_xlfn.CONCAT(Summary!$M$6, " ", TEXT(Summary!$M$7,"mm/dd/yyyy"))</f>
        <v>Express LT V7/11/2025</v>
      </c>
      <c r="P11" cm="1">
        <f t="array" ref="P11:Q11">IFERROR(VLOOKUP('Express Input Form'!G18:H18,'Dropdown Tables'!B11:C32,2,FALSE),)</f>
        <v>0</v>
      </c>
      <c r="Q11">
        <v>0</v>
      </c>
      <c r="U11" t="str">
        <f t="shared" si="2"/>
        <v/>
      </c>
      <c r="V11" s="104" t="str">
        <f>IFERROR((L11-'Express Input Form'!T22)/M11,"")</f>
        <v/>
      </c>
    </row>
    <row r="12" spans="1:22" x14ac:dyDescent="0.3">
      <c r="A12" s="98">
        <f>'Express Input Form'!$W$3</f>
        <v>0</v>
      </c>
      <c r="B12" t="str">
        <f>IFERROR(VLOOKUP(E12,'Measure Table'!$D$2:$R$179,3,FALSE), "")</f>
        <v/>
      </c>
      <c r="C12" t="str">
        <f t="shared" si="1"/>
        <v>0-</v>
      </c>
      <c r="D12" s="101">
        <f>'Express Input Form'!$W$5</f>
        <v>0</v>
      </c>
      <c r="E12" t="str">
        <f>'Express Input Form'!K23</f>
        <v/>
      </c>
      <c r="F12" t="str">
        <f>IFERROR(VLOOKUP(E12,'Measure Table'!$D$2:$R$179, 2, FALSE),"")</f>
        <v/>
      </c>
      <c r="G12">
        <f>'Express Input Form'!F23</f>
        <v>0</v>
      </c>
      <c r="H12">
        <f>'Express Input Form'!G23</f>
        <v>0</v>
      </c>
      <c r="J12" s="100"/>
      <c r="L12" s="103" t="str">
        <f>'Express Input Form'!M23</f>
        <v/>
      </c>
      <c r="M12" s="103" t="str">
        <f t="shared" si="0"/>
        <v/>
      </c>
      <c r="N12" s="103" t="str" cm="1">
        <f t="array" ref="N12">IFERROR(IF(TotalCappedIncentive&lt;&gt;Incentives_Total,"TRUE", "FALSE"),"")</f>
        <v/>
      </c>
      <c r="O12" t="str">
        <f>_xlfn.CONCAT(Summary!$M$6, " ", TEXT(Summary!$M$7,"mm/dd/yyyy"))</f>
        <v>Express LT V7/11/2025</v>
      </c>
      <c r="P12" cm="1">
        <f t="array" ref="P12:Q12">IFERROR(VLOOKUP('Express Input Form'!G19:H19,'Dropdown Tables'!B12:C33,2,FALSE),)</f>
        <v>0</v>
      </c>
      <c r="Q12">
        <v>0</v>
      </c>
      <c r="U12" t="str">
        <f t="shared" si="2"/>
        <v/>
      </c>
      <c r="V12" s="104" t="str">
        <f>IFERROR((L12-'Express Input Form'!T23)/M12,"")</f>
        <v/>
      </c>
    </row>
    <row r="13" spans="1:22" x14ac:dyDescent="0.3">
      <c r="A13" s="98">
        <f>'Express Input Form'!$W$3</f>
        <v>0</v>
      </c>
      <c r="B13" t="str">
        <f>IFERROR(VLOOKUP(E13,'Measure Table'!$D$2:$R$179,3,FALSE), "")</f>
        <v/>
      </c>
      <c r="C13" t="str">
        <f t="shared" si="1"/>
        <v>0-</v>
      </c>
      <c r="D13" s="101">
        <f>'Express Input Form'!$W$5</f>
        <v>0</v>
      </c>
      <c r="E13" t="str">
        <f>'Express Input Form'!K24</f>
        <v/>
      </c>
      <c r="F13" t="str">
        <f>IFERROR(VLOOKUP(E13,'Measure Table'!$D$2:$R$179, 2, FALSE),"")</f>
        <v/>
      </c>
      <c r="G13">
        <f>'Express Input Form'!F24</f>
        <v>0</v>
      </c>
      <c r="H13">
        <f>'Express Input Form'!G24</f>
        <v>0</v>
      </c>
      <c r="J13" s="100"/>
      <c r="L13" s="103" t="str">
        <f>'Express Input Form'!M24</f>
        <v/>
      </c>
      <c r="M13" s="103" t="str">
        <f t="shared" si="0"/>
        <v/>
      </c>
      <c r="N13" s="103" t="str" cm="1">
        <f t="array" ref="N13">IFERROR(IF(TotalCappedIncentive&lt;&gt;Incentives_Total,"TRUE", "FALSE"),"")</f>
        <v/>
      </c>
      <c r="O13" t="str">
        <f>_xlfn.CONCAT(Summary!$M$6, " ", TEXT(Summary!$M$7,"mm/dd/yyyy"))</f>
        <v>Express LT V7/11/2025</v>
      </c>
      <c r="P13" cm="1">
        <f t="array" ref="P13:Q13">IFERROR(VLOOKUP('Express Input Form'!G20:H20,'Dropdown Tables'!B13:C34,2,FALSE),)</f>
        <v>0</v>
      </c>
      <c r="Q13">
        <v>0</v>
      </c>
      <c r="U13" t="str">
        <f t="shared" si="2"/>
        <v/>
      </c>
      <c r="V13" s="104" t="str">
        <f>IFERROR((L13-'Express Input Form'!T24)/M13,"")</f>
        <v/>
      </c>
    </row>
    <row r="14" spans="1:22" x14ac:dyDescent="0.3">
      <c r="A14" s="98">
        <f>'Express Input Form'!$W$3</f>
        <v>0</v>
      </c>
      <c r="B14" t="str">
        <f>IFERROR(VLOOKUP(E14,'Measure Table'!$D$2:$R$179,3,FALSE), "")</f>
        <v/>
      </c>
      <c r="C14" t="str">
        <f t="shared" si="1"/>
        <v>0-</v>
      </c>
      <c r="D14" s="101">
        <f>'Express Input Form'!$W$5</f>
        <v>0</v>
      </c>
      <c r="E14" t="str">
        <f>'Express Input Form'!K25</f>
        <v/>
      </c>
      <c r="F14" t="str">
        <f>IFERROR(VLOOKUP(E14,'Measure Table'!$D$2:$R$179, 2, FALSE),"")</f>
        <v/>
      </c>
      <c r="G14">
        <f>'Express Input Form'!F25</f>
        <v>0</v>
      </c>
      <c r="H14">
        <f>'Express Input Form'!G25</f>
        <v>0</v>
      </c>
      <c r="J14" s="100"/>
      <c r="L14" s="103" t="str">
        <f>'Express Input Form'!M25</f>
        <v/>
      </c>
      <c r="M14" s="103" t="str">
        <f t="shared" si="0"/>
        <v/>
      </c>
      <c r="N14" s="103" t="str" cm="1">
        <f t="array" ref="N14">IFERROR(IF(TotalCappedIncentive&lt;&gt;Incentives_Total,"TRUE", "FALSE"),"")</f>
        <v/>
      </c>
      <c r="O14" t="str">
        <f>_xlfn.CONCAT(Summary!$M$6, " ", TEXT(Summary!$M$7,"mm/dd/yyyy"))</f>
        <v>Express LT V7/11/2025</v>
      </c>
      <c r="P14" cm="1">
        <f t="array" ref="P14:Q14">IFERROR(VLOOKUP('Express Input Form'!G21:H21,'Dropdown Tables'!B14:C35,2,FALSE),)</f>
        <v>0</v>
      </c>
      <c r="Q14">
        <v>0</v>
      </c>
      <c r="U14" t="str">
        <f t="shared" si="2"/>
        <v/>
      </c>
      <c r="V14" s="104" t="str">
        <f>IFERROR((L14-'Express Input Form'!T25)/M14,"")</f>
        <v/>
      </c>
    </row>
    <row r="15" spans="1:22" x14ac:dyDescent="0.3">
      <c r="A15" s="98">
        <f>'Express Input Form'!$W$3</f>
        <v>0</v>
      </c>
      <c r="B15" t="str">
        <f>IFERROR(VLOOKUP(E15,'Measure Table'!$D$2:$R$179,3,FALSE), "")</f>
        <v/>
      </c>
      <c r="C15" t="str">
        <f t="shared" si="1"/>
        <v>0-</v>
      </c>
      <c r="D15" s="101">
        <f>'Express Input Form'!$W$5</f>
        <v>0</v>
      </c>
      <c r="E15" t="str">
        <f>'Express Input Form'!K26</f>
        <v/>
      </c>
      <c r="F15" t="str">
        <f>IFERROR(VLOOKUP(E15,'Measure Table'!$D$2:$R$179, 2, FALSE),"")</f>
        <v/>
      </c>
      <c r="G15">
        <f>'Express Input Form'!F26</f>
        <v>0</v>
      </c>
      <c r="H15">
        <f>'Express Input Form'!G26</f>
        <v>0</v>
      </c>
      <c r="J15" s="100"/>
      <c r="L15" s="103" t="str">
        <f>'Express Input Form'!M26</f>
        <v/>
      </c>
      <c r="M15" s="103" t="str">
        <f t="shared" si="0"/>
        <v/>
      </c>
      <c r="N15" s="103" t="str" cm="1">
        <f t="array" ref="N15">IFERROR(IF(TotalCappedIncentive&lt;&gt;Incentives_Total,"TRUE", "FALSE"),"")</f>
        <v/>
      </c>
      <c r="O15" t="str">
        <f>_xlfn.CONCAT(Summary!$M$6, " ", TEXT(Summary!$M$7,"mm/dd/yyyy"))</f>
        <v>Express LT V7/11/2025</v>
      </c>
      <c r="P15" cm="1">
        <f t="array" ref="P15:Q15">IFERROR(VLOOKUP('Express Input Form'!G22:H22,'Dropdown Tables'!B15:C36,2,FALSE),)</f>
        <v>0</v>
      </c>
      <c r="Q15">
        <v>0</v>
      </c>
      <c r="U15" t="str">
        <f t="shared" si="2"/>
        <v/>
      </c>
      <c r="V15" s="104" t="str">
        <f>IFERROR((L15-'Express Input Form'!T26)/M15,"")</f>
        <v/>
      </c>
    </row>
    <row r="16" spans="1:22" x14ac:dyDescent="0.3">
      <c r="A16" s="98">
        <f>'Express Input Form'!$W$3</f>
        <v>0</v>
      </c>
      <c r="B16" t="str">
        <f>IFERROR(VLOOKUP(E16,'Measure Table'!$D$2:$R$179,3,FALSE), "")</f>
        <v/>
      </c>
      <c r="C16" t="str">
        <f t="shared" si="1"/>
        <v>0-</v>
      </c>
      <c r="D16" s="101">
        <f>'Express Input Form'!$W$5</f>
        <v>0</v>
      </c>
      <c r="E16" t="str">
        <f>'Express Input Form'!K27</f>
        <v/>
      </c>
      <c r="F16" t="str">
        <f>IFERROR(VLOOKUP(E16,'Measure Table'!$D$2:$R$179, 2, FALSE),"")</f>
        <v/>
      </c>
      <c r="G16">
        <f>'Express Input Form'!F27</f>
        <v>0</v>
      </c>
      <c r="H16">
        <f>'Express Input Form'!G27</f>
        <v>0</v>
      </c>
      <c r="J16" s="100"/>
      <c r="L16" s="103" t="str">
        <f>'Express Input Form'!M27</f>
        <v/>
      </c>
      <c r="M16" s="103" t="str">
        <f t="shared" si="0"/>
        <v/>
      </c>
      <c r="N16" s="103" t="str" cm="1">
        <f t="array" ref="N16">IFERROR(IF(TotalCappedIncentive&lt;&gt;Incentives_Total,"TRUE", "FALSE"),"")</f>
        <v/>
      </c>
      <c r="O16" t="str">
        <f>_xlfn.CONCAT(Summary!$M$6, " ", TEXT(Summary!$M$7,"mm/dd/yyyy"))</f>
        <v>Express LT V7/11/2025</v>
      </c>
      <c r="P16" cm="1">
        <f t="array" ref="P16:Q16">IFERROR(VLOOKUP('Express Input Form'!G23:H23,'Dropdown Tables'!B16:C37,2,FALSE),)</f>
        <v>0</v>
      </c>
      <c r="Q16">
        <v>0</v>
      </c>
      <c r="U16" t="str">
        <f t="shared" si="2"/>
        <v/>
      </c>
      <c r="V16" s="104" t="str">
        <f>IFERROR((L16-'Express Input Form'!T27)/M16,"")</f>
        <v/>
      </c>
    </row>
    <row r="17" spans="1:22" x14ac:dyDescent="0.3">
      <c r="A17" s="98">
        <f>'Express Input Form'!$W$3</f>
        <v>0</v>
      </c>
      <c r="B17" t="str">
        <f>IFERROR(VLOOKUP(E17,'Measure Table'!$D$2:$R$179,3,FALSE), "")</f>
        <v/>
      </c>
      <c r="C17" t="str">
        <f t="shared" si="1"/>
        <v>0-</v>
      </c>
      <c r="D17" s="101">
        <f>'Express Input Form'!$W$5</f>
        <v>0</v>
      </c>
      <c r="E17" t="str">
        <f>'Express Input Form'!K28</f>
        <v/>
      </c>
      <c r="F17" t="str">
        <f>IFERROR(VLOOKUP(E17,'Measure Table'!$D$2:$R$179, 2, FALSE),"")</f>
        <v/>
      </c>
      <c r="G17">
        <f>'Express Input Form'!F28</f>
        <v>0</v>
      </c>
      <c r="H17">
        <f>'Express Input Form'!G28</f>
        <v>0</v>
      </c>
      <c r="J17" s="100"/>
      <c r="L17" s="103" t="str">
        <f>'Express Input Form'!M28</f>
        <v/>
      </c>
      <c r="M17" s="103" t="str">
        <f t="shared" si="0"/>
        <v/>
      </c>
      <c r="N17" s="103" t="str" cm="1">
        <f t="array" ref="N17">IFERROR(IF(TotalCappedIncentive&lt;&gt;Incentives_Total,"TRUE", "FALSE"),"")</f>
        <v/>
      </c>
      <c r="O17" t="str">
        <f>_xlfn.CONCAT(Summary!$M$6, " ", TEXT(Summary!$M$7,"mm/dd/yyyy"))</f>
        <v>Express LT V7/11/2025</v>
      </c>
      <c r="P17" cm="1">
        <f t="array" ref="P17:Q17">IFERROR(VLOOKUP('Express Input Form'!G24:H24,'Dropdown Tables'!B17:C38,2,FALSE),)</f>
        <v>0</v>
      </c>
      <c r="Q17">
        <v>0</v>
      </c>
      <c r="U17" t="str">
        <f t="shared" si="2"/>
        <v/>
      </c>
      <c r="V17" s="104" t="str">
        <f>IFERROR((L17-'Express Input Form'!T28)/M17,"")</f>
        <v/>
      </c>
    </row>
    <row r="18" spans="1:22" x14ac:dyDescent="0.3">
      <c r="A18" s="98">
        <f>'Express Input Form'!$W$3</f>
        <v>0</v>
      </c>
      <c r="B18" t="str">
        <f>IFERROR(VLOOKUP(E18,'Measure Table'!$D$2:$R$179,3,FALSE), "")</f>
        <v/>
      </c>
      <c r="C18" t="str">
        <f t="shared" si="1"/>
        <v>0-</v>
      </c>
      <c r="D18" s="101">
        <f>'Express Input Form'!$W$5</f>
        <v>0</v>
      </c>
      <c r="E18" t="str">
        <f>'Express Input Form'!K29</f>
        <v/>
      </c>
      <c r="F18" t="str">
        <f>IFERROR(VLOOKUP(E18,'Measure Table'!$D$2:$R$179, 2, FALSE),"")</f>
        <v/>
      </c>
      <c r="G18">
        <f>'Express Input Form'!F29</f>
        <v>0</v>
      </c>
      <c r="H18">
        <f>'Express Input Form'!G29</f>
        <v>0</v>
      </c>
      <c r="J18" s="100"/>
      <c r="L18" s="103" t="str">
        <f>'Express Input Form'!M29</f>
        <v/>
      </c>
      <c r="M18" s="103" t="str">
        <f t="shared" si="0"/>
        <v/>
      </c>
      <c r="N18" s="103" t="str" cm="1">
        <f t="array" ref="N18">IFERROR(IF(TotalCappedIncentive&lt;&gt;Incentives_Total,"TRUE", "FALSE"),"")</f>
        <v/>
      </c>
      <c r="O18" t="str">
        <f>_xlfn.CONCAT(Summary!$M$6, " ", TEXT(Summary!$M$7,"mm/dd/yyyy"))</f>
        <v>Express LT V7/11/2025</v>
      </c>
      <c r="P18" cm="1">
        <f t="array" ref="P18:Q18">IFERROR(VLOOKUP('Express Input Form'!G25:H25,'Dropdown Tables'!B18:C39,2,FALSE),)</f>
        <v>0</v>
      </c>
      <c r="Q18">
        <v>0</v>
      </c>
      <c r="U18" t="str">
        <f t="shared" si="2"/>
        <v/>
      </c>
      <c r="V18" s="104" t="str">
        <f>IFERROR((L18-'Express Input Form'!T29)/M18,"")</f>
        <v/>
      </c>
    </row>
    <row r="19" spans="1:22" x14ac:dyDescent="0.3">
      <c r="A19" s="98">
        <f>'Express Input Form'!$W$3</f>
        <v>0</v>
      </c>
      <c r="B19" t="str">
        <f>IFERROR(VLOOKUP(E19,'Measure Table'!$D$2:$R$179,3,FALSE), "")</f>
        <v/>
      </c>
      <c r="C19" t="str">
        <f t="shared" si="1"/>
        <v>0-</v>
      </c>
      <c r="D19" s="101">
        <f>'Express Input Form'!$W$5</f>
        <v>0</v>
      </c>
      <c r="E19" t="str">
        <f>'Express Input Form'!K30</f>
        <v/>
      </c>
      <c r="F19" t="str">
        <f>IFERROR(VLOOKUP(E19,'Measure Table'!$D$2:$R$179, 2, FALSE),"")</f>
        <v/>
      </c>
      <c r="G19">
        <f>'Express Input Form'!F30</f>
        <v>0</v>
      </c>
      <c r="H19">
        <f>'Express Input Form'!G30</f>
        <v>0</v>
      </c>
      <c r="J19" s="100"/>
      <c r="L19" s="103" t="str">
        <f>'Express Input Form'!M30</f>
        <v/>
      </c>
      <c r="M19" s="103" t="str">
        <f t="shared" si="0"/>
        <v/>
      </c>
      <c r="N19" s="103" t="str" cm="1">
        <f t="array" ref="N19">IFERROR(IF(TotalCappedIncentive&lt;&gt;Incentives_Total,"TRUE", "FALSE"),"")</f>
        <v/>
      </c>
      <c r="O19" t="str">
        <f>_xlfn.CONCAT(Summary!$M$6, " ", TEXT(Summary!$M$7,"mm/dd/yyyy"))</f>
        <v>Express LT V7/11/2025</v>
      </c>
      <c r="P19" cm="1">
        <f t="array" ref="P19:Q19">IFERROR(VLOOKUP('Express Input Form'!G26:H26,'Dropdown Tables'!B19:C40,2,FALSE),)</f>
        <v>0</v>
      </c>
      <c r="Q19">
        <v>0</v>
      </c>
      <c r="U19" t="str">
        <f t="shared" si="2"/>
        <v/>
      </c>
      <c r="V19" s="104" t="str">
        <f>IFERROR((L19-'Express Input Form'!T30)/M19,"")</f>
        <v/>
      </c>
    </row>
    <row r="20" spans="1:22" x14ac:dyDescent="0.3">
      <c r="A20" s="98">
        <f>'Express Input Form'!$W$3</f>
        <v>0</v>
      </c>
      <c r="B20" t="str">
        <f>IFERROR(VLOOKUP(E20,'Measure Table'!$D$2:$R$179,3,FALSE), "")</f>
        <v/>
      </c>
      <c r="C20" t="str">
        <f t="shared" si="1"/>
        <v>0-</v>
      </c>
      <c r="D20" s="101">
        <f>'Express Input Form'!$W$5</f>
        <v>0</v>
      </c>
      <c r="E20" t="str">
        <f>'Express Input Form'!K31</f>
        <v/>
      </c>
      <c r="F20" t="str">
        <f>IFERROR(VLOOKUP(E20,'Measure Table'!$D$2:$R$179, 2, FALSE),"")</f>
        <v/>
      </c>
      <c r="G20">
        <f>'Express Input Form'!F31</f>
        <v>0</v>
      </c>
      <c r="H20">
        <f>'Express Input Form'!G31</f>
        <v>0</v>
      </c>
      <c r="J20" s="100"/>
      <c r="L20" s="103" t="str">
        <f>'Express Input Form'!M31</f>
        <v/>
      </c>
      <c r="M20" s="103" t="str">
        <f t="shared" si="0"/>
        <v/>
      </c>
      <c r="N20" s="103" t="str" cm="1">
        <f t="array" ref="N20">IFERROR(IF(TotalCappedIncentive&lt;&gt;Incentives_Total,"TRUE", "FALSE"),"")</f>
        <v/>
      </c>
      <c r="O20" t="str">
        <f>_xlfn.CONCAT(Summary!$M$6, " ", TEXT(Summary!$M$7,"mm/dd/yyyy"))</f>
        <v>Express LT V7/11/2025</v>
      </c>
      <c r="P20" cm="1">
        <f t="array" ref="P20:Q20">IFERROR(VLOOKUP('Express Input Form'!G27:H27,'Dropdown Tables'!B20:C41,2,FALSE),)</f>
        <v>0</v>
      </c>
      <c r="Q20">
        <v>0</v>
      </c>
      <c r="U20" t="str">
        <f t="shared" si="2"/>
        <v/>
      </c>
      <c r="V20" s="104" t="str">
        <f>IFERROR((L20-'Express Input Form'!T31)/M20,"")</f>
        <v/>
      </c>
    </row>
    <row r="21" spans="1:22" x14ac:dyDescent="0.3">
      <c r="A21" s="98">
        <f>'Express Input Form'!$W$3</f>
        <v>0</v>
      </c>
      <c r="B21" t="str">
        <f>IFERROR(VLOOKUP(E21,'Measure Table'!$D$2:$R$179,3,FALSE), "")</f>
        <v/>
      </c>
      <c r="C21" t="str">
        <f t="shared" si="1"/>
        <v>0-</v>
      </c>
      <c r="D21" s="101">
        <f>'Express Input Form'!$W$5</f>
        <v>0</v>
      </c>
      <c r="E21" t="str">
        <f>'Express Input Form'!K32</f>
        <v/>
      </c>
      <c r="F21" t="str">
        <f>IFERROR(VLOOKUP(E21,'Measure Table'!$D$2:$R$179, 2, FALSE),"")</f>
        <v/>
      </c>
      <c r="G21">
        <f>'Express Input Form'!F32</f>
        <v>0</v>
      </c>
      <c r="H21">
        <f>'Express Input Form'!G32</f>
        <v>0</v>
      </c>
      <c r="J21" s="100"/>
      <c r="L21" s="103" t="str">
        <f>'Express Input Form'!M32</f>
        <v/>
      </c>
      <c r="M21" s="103" t="str">
        <f t="shared" si="0"/>
        <v/>
      </c>
      <c r="N21" s="103" t="str" cm="1">
        <f t="array" ref="N21">IFERROR(IF(TotalCappedIncentive&lt;&gt;Incentives_Total,"TRUE", "FALSE"),"")</f>
        <v/>
      </c>
      <c r="O21" t="str">
        <f>_xlfn.CONCAT(Summary!$M$6, " ", TEXT(Summary!$M$7,"mm/dd/yyyy"))</f>
        <v>Express LT V7/11/2025</v>
      </c>
      <c r="P21" cm="1">
        <f t="array" ref="P21:Q21">IFERROR(VLOOKUP('Express Input Form'!G28:H28,'Dropdown Tables'!B21:C42,2,FALSE),)</f>
        <v>0</v>
      </c>
      <c r="Q21">
        <v>0</v>
      </c>
      <c r="U21" t="str">
        <f t="shared" si="2"/>
        <v/>
      </c>
      <c r="V21" s="104" t="str">
        <f>IFERROR((L21-'Express Input Form'!T32)/M21,"")</f>
        <v/>
      </c>
    </row>
    <row r="22" spans="1:22" x14ac:dyDescent="0.3">
      <c r="A22" s="98">
        <f>'Express Input Form'!$W$3</f>
        <v>0</v>
      </c>
      <c r="B22" t="str">
        <f>IFERROR(VLOOKUP(E22,'Measure Table'!$D$2:$R$179,3,FALSE), "")</f>
        <v/>
      </c>
      <c r="C22" t="str">
        <f t="shared" si="1"/>
        <v>0-</v>
      </c>
      <c r="D22" s="101">
        <f>'Express Input Form'!$W$5</f>
        <v>0</v>
      </c>
      <c r="E22" t="str">
        <f>'Express Input Form'!K33</f>
        <v/>
      </c>
      <c r="F22" t="str">
        <f>IFERROR(VLOOKUP(E22,'Measure Table'!$D$2:$R$179, 2, FALSE),"")</f>
        <v/>
      </c>
      <c r="G22">
        <f>'Express Input Form'!F33</f>
        <v>0</v>
      </c>
      <c r="H22">
        <f>'Express Input Form'!G33</f>
        <v>0</v>
      </c>
      <c r="J22" s="100"/>
      <c r="L22" s="103" t="str">
        <f>'Express Input Form'!M33</f>
        <v/>
      </c>
      <c r="M22" s="103" t="str">
        <f t="shared" si="0"/>
        <v/>
      </c>
      <c r="N22" s="103" t="str" cm="1">
        <f t="array" ref="N22">IFERROR(IF(TotalCappedIncentive&lt;&gt;Incentives_Total,"TRUE", "FALSE"),"")</f>
        <v/>
      </c>
      <c r="O22" t="str">
        <f>_xlfn.CONCAT(Summary!$M$6, " ", TEXT(Summary!$M$7,"mm/dd/yyyy"))</f>
        <v>Express LT V7/11/2025</v>
      </c>
      <c r="P22" cm="1">
        <f t="array" ref="P22:Q22">IFERROR(VLOOKUP('Express Input Form'!G29:H29,'Dropdown Tables'!B22:C43,2,FALSE),)</f>
        <v>0</v>
      </c>
      <c r="Q22">
        <v>0</v>
      </c>
      <c r="U22" t="str">
        <f t="shared" si="2"/>
        <v/>
      </c>
      <c r="V22" s="104" t="str">
        <f>IFERROR((L22-'Express Input Form'!T33)/M22,"")</f>
        <v/>
      </c>
    </row>
    <row r="23" spans="1:22" x14ac:dyDescent="0.3">
      <c r="A23" s="98">
        <f>'Express Input Form'!$W$3</f>
        <v>0</v>
      </c>
      <c r="B23" t="str">
        <f>IFERROR(VLOOKUP(E23,'Measure Table'!$D$2:$R$179,3,FALSE), "")</f>
        <v/>
      </c>
      <c r="C23" t="str">
        <f t="shared" si="1"/>
        <v>0-</v>
      </c>
      <c r="D23" s="101">
        <f>'Express Input Form'!$W$5</f>
        <v>0</v>
      </c>
      <c r="E23" t="str">
        <f>'Express Input Form'!K34</f>
        <v/>
      </c>
      <c r="F23" t="str">
        <f>IFERROR(VLOOKUP(E23,'Measure Table'!$D$2:$R$179, 2, FALSE),"")</f>
        <v/>
      </c>
      <c r="G23">
        <f>'Express Input Form'!F34</f>
        <v>0</v>
      </c>
      <c r="H23">
        <f>'Express Input Form'!G34</f>
        <v>0</v>
      </c>
      <c r="J23" s="100"/>
      <c r="L23" s="103" t="str">
        <f>'Express Input Form'!M34</f>
        <v/>
      </c>
      <c r="M23" s="103" t="str">
        <f t="shared" si="0"/>
        <v/>
      </c>
      <c r="N23" s="103" t="str" cm="1">
        <f t="array" ref="N23">IFERROR(IF(TotalCappedIncentive&lt;&gt;Incentives_Total,"TRUE", "FALSE"),"")</f>
        <v/>
      </c>
      <c r="O23" t="str">
        <f>_xlfn.CONCAT(Summary!$M$6, " ", TEXT(Summary!$M$7,"mm/dd/yyyy"))</f>
        <v>Express LT V7/11/2025</v>
      </c>
      <c r="P23" cm="1">
        <f t="array" ref="P23:Q23">IFERROR(VLOOKUP('Express Input Form'!G30:H30,'Dropdown Tables'!B23:C44,2,FALSE),)</f>
        <v>0</v>
      </c>
      <c r="Q23">
        <v>0</v>
      </c>
      <c r="U23" t="str">
        <f t="shared" si="2"/>
        <v/>
      </c>
      <c r="V23" s="104" t="str">
        <f>IFERROR((L23-'Express Input Form'!T34)/M23,"")</f>
        <v/>
      </c>
    </row>
    <row r="24" spans="1:22" x14ac:dyDescent="0.3">
      <c r="A24" s="98">
        <f>'Express Input Form'!$W$3</f>
        <v>0</v>
      </c>
      <c r="B24" t="str">
        <f>IFERROR(VLOOKUP(E24,'Measure Table'!$D$2:$R$179,3,FALSE), "")</f>
        <v/>
      </c>
      <c r="C24" t="str">
        <f t="shared" si="1"/>
        <v>0-</v>
      </c>
      <c r="D24" s="101">
        <f>'Express Input Form'!$W$5</f>
        <v>0</v>
      </c>
      <c r="E24" t="str">
        <f>'Express Input Form'!K35</f>
        <v/>
      </c>
      <c r="F24" t="str">
        <f>IFERROR(VLOOKUP(E24,'Measure Table'!$D$2:$R$179, 2, FALSE),"")</f>
        <v/>
      </c>
      <c r="G24">
        <f>'Express Input Form'!F35</f>
        <v>0</v>
      </c>
      <c r="H24">
        <f>'Express Input Form'!G35</f>
        <v>0</v>
      </c>
      <c r="J24" s="100"/>
      <c r="L24" s="103" t="str">
        <f>'Express Input Form'!M35</f>
        <v/>
      </c>
      <c r="M24" s="103" t="str">
        <f t="shared" si="0"/>
        <v/>
      </c>
      <c r="N24" s="103" t="str" cm="1">
        <f t="array" ref="N24">IFERROR(IF(TotalCappedIncentive&lt;&gt;Incentives_Total,"TRUE", "FALSE"),"")</f>
        <v/>
      </c>
      <c r="O24" t="str">
        <f>_xlfn.CONCAT(Summary!$M$6, " ", TEXT(Summary!$M$7,"mm/dd/yyyy"))</f>
        <v>Express LT V7/11/2025</v>
      </c>
      <c r="P24" cm="1">
        <f t="array" ref="P24:Q24">IFERROR(VLOOKUP('Express Input Form'!G31:H31,'Dropdown Tables'!B24:C45,2,FALSE),)</f>
        <v>0</v>
      </c>
      <c r="Q24">
        <v>0</v>
      </c>
      <c r="U24" t="str">
        <f t="shared" si="2"/>
        <v/>
      </c>
      <c r="V24" s="104" t="str">
        <f>IFERROR((L24-'Express Input Form'!T35)/M24,"")</f>
        <v/>
      </c>
    </row>
    <row r="25" spans="1:22" x14ac:dyDescent="0.3">
      <c r="A25" s="98">
        <f>'Express Input Form'!$W$3</f>
        <v>0</v>
      </c>
      <c r="B25" t="str">
        <f>IFERROR(VLOOKUP(E25,'Measure Table'!$D$2:$R$179,3,FALSE), "")</f>
        <v/>
      </c>
      <c r="C25" t="str">
        <f t="shared" si="1"/>
        <v>0-</v>
      </c>
      <c r="D25" s="101">
        <f>'Express Input Form'!$W$5</f>
        <v>0</v>
      </c>
      <c r="E25" t="str">
        <f>'Express Input Form'!K36</f>
        <v/>
      </c>
      <c r="F25" t="str">
        <f>IFERROR(VLOOKUP(E25,'Measure Table'!$D$2:$R$179, 2, FALSE),"")</f>
        <v/>
      </c>
      <c r="G25">
        <f>'Express Input Form'!F36</f>
        <v>0</v>
      </c>
      <c r="H25">
        <f>'Express Input Form'!G36</f>
        <v>0</v>
      </c>
      <c r="J25" s="100"/>
      <c r="L25" s="103" t="str">
        <f>'Express Input Form'!M36</f>
        <v/>
      </c>
      <c r="M25" s="103" t="str">
        <f t="shared" si="0"/>
        <v/>
      </c>
      <c r="N25" s="103" t="str" cm="1">
        <f t="array" ref="N25">IFERROR(IF(TotalCappedIncentive&lt;&gt;Incentives_Total,"TRUE", "FALSE"),"")</f>
        <v/>
      </c>
      <c r="O25" t="str">
        <f>_xlfn.CONCAT(Summary!$M$6, " ", TEXT(Summary!$M$7,"mm/dd/yyyy"))</f>
        <v>Express LT V7/11/2025</v>
      </c>
      <c r="P25" cm="1">
        <f t="array" ref="P25:Q25">IFERROR(VLOOKUP('Express Input Form'!G32:H32,'Dropdown Tables'!B25:C46,2,FALSE),)</f>
        <v>0</v>
      </c>
      <c r="Q25">
        <v>0</v>
      </c>
      <c r="U25" t="str">
        <f t="shared" si="2"/>
        <v/>
      </c>
      <c r="V25" s="104" t="str">
        <f>IFERROR((L25-'Express Input Form'!T36)/M25,"")</f>
        <v/>
      </c>
    </row>
    <row r="26" spans="1:22" x14ac:dyDescent="0.3">
      <c r="A26" s="98">
        <f>'Express Input Form'!$W$3</f>
        <v>0</v>
      </c>
      <c r="B26" t="str">
        <f>IFERROR(VLOOKUP(E26,'Measure Table'!$D$2:$R$179,3,FALSE), "")</f>
        <v/>
      </c>
      <c r="C26" t="str">
        <f t="shared" si="1"/>
        <v>0-</v>
      </c>
      <c r="D26" s="101">
        <f>'Express Input Form'!$W$5</f>
        <v>0</v>
      </c>
      <c r="E26" t="str">
        <f>'Express Input Form'!K37</f>
        <v/>
      </c>
      <c r="F26" t="str">
        <f>IFERROR(VLOOKUP(E26,'Measure Table'!$D$2:$R$179, 2, FALSE),"")</f>
        <v/>
      </c>
      <c r="G26">
        <f>'Express Input Form'!F37</f>
        <v>0</v>
      </c>
      <c r="H26">
        <f>'Express Input Form'!G37</f>
        <v>0</v>
      </c>
      <c r="J26" s="100"/>
      <c r="L26" s="103" t="str">
        <f>'Express Input Form'!M37</f>
        <v/>
      </c>
      <c r="M26" s="103" t="str">
        <f t="shared" si="0"/>
        <v/>
      </c>
      <c r="N26" s="103" t="str" cm="1">
        <f t="array" ref="N26">IFERROR(IF(TotalCappedIncentive&lt;&gt;Incentives_Total,"TRUE", "FALSE"),"")</f>
        <v/>
      </c>
      <c r="O26" t="str">
        <f>_xlfn.CONCAT(Summary!$M$6, " ", TEXT(Summary!$M$7,"mm/dd/yyyy"))</f>
        <v>Express LT V7/11/2025</v>
      </c>
      <c r="P26" cm="1">
        <f t="array" ref="P26:Q26">IFERROR(VLOOKUP('Express Input Form'!G33:H33,'Dropdown Tables'!B26:C47,2,FALSE),)</f>
        <v>0</v>
      </c>
      <c r="Q26">
        <v>0</v>
      </c>
      <c r="U26" t="str">
        <f t="shared" si="2"/>
        <v/>
      </c>
      <c r="V26" s="104" t="str">
        <f>IFERROR((L26-'Express Input Form'!T37)/M26,"")</f>
        <v/>
      </c>
    </row>
    <row r="27" spans="1:22" x14ac:dyDescent="0.3">
      <c r="A27" s="98">
        <f>'Express Input Form'!$W$3</f>
        <v>0</v>
      </c>
      <c r="B27" t="str">
        <f>IFERROR(VLOOKUP(E27,'Measure Table'!$D$2:$R$179,3,FALSE), "")</f>
        <v/>
      </c>
      <c r="C27" t="str">
        <f t="shared" si="1"/>
        <v>0-</v>
      </c>
      <c r="D27" s="101">
        <f>'Express Input Form'!$W$5</f>
        <v>0</v>
      </c>
      <c r="E27" t="str">
        <f>'Express Input Form'!K38</f>
        <v/>
      </c>
      <c r="F27" t="str">
        <f>IFERROR(VLOOKUP(E27,'Measure Table'!$D$2:$R$179, 2, FALSE),"")</f>
        <v/>
      </c>
      <c r="G27">
        <f>'Express Input Form'!F38</f>
        <v>0</v>
      </c>
      <c r="H27">
        <f>'Express Input Form'!G38</f>
        <v>0</v>
      </c>
      <c r="J27" s="100"/>
      <c r="L27" s="103" t="str">
        <f>'Express Input Form'!M38</f>
        <v/>
      </c>
      <c r="M27" s="103" t="str">
        <f t="shared" si="0"/>
        <v/>
      </c>
      <c r="N27" s="103" t="str" cm="1">
        <f t="array" ref="N27">IFERROR(IF(TotalCappedIncentive&lt;&gt;Incentives_Total,"TRUE", "FALSE"),"")</f>
        <v/>
      </c>
      <c r="O27" t="str">
        <f>_xlfn.CONCAT(Summary!$M$6, " ", TEXT(Summary!$M$7,"mm/dd/yyyy"))</f>
        <v>Express LT V7/11/2025</v>
      </c>
      <c r="P27" cm="1">
        <f t="array" ref="P27:Q27">IFERROR(VLOOKUP('Express Input Form'!G34:H34,'Dropdown Tables'!B27:C48,2,FALSE),)</f>
        <v>0</v>
      </c>
      <c r="Q27">
        <v>0</v>
      </c>
      <c r="U27" t="str">
        <f t="shared" si="2"/>
        <v/>
      </c>
      <c r="V27" s="104" t="str">
        <f>IFERROR((L27-'Express Input Form'!T38)/M27,"")</f>
        <v/>
      </c>
    </row>
    <row r="28" spans="1:22" x14ac:dyDescent="0.3">
      <c r="A28" s="98">
        <f>'Express Input Form'!$W$3</f>
        <v>0</v>
      </c>
      <c r="B28" t="str">
        <f>IFERROR(VLOOKUP(E28,'Measure Table'!$D$2:$R$179,3,FALSE), "")</f>
        <v/>
      </c>
      <c r="C28" t="str">
        <f t="shared" si="1"/>
        <v>0-</v>
      </c>
      <c r="D28" s="101">
        <f>'Express Input Form'!$W$5</f>
        <v>0</v>
      </c>
      <c r="E28" t="str">
        <f>'Express Input Form'!K39</f>
        <v/>
      </c>
      <c r="F28" t="str">
        <f>IFERROR(VLOOKUP(E28,'Measure Table'!$D$2:$R$179, 2, FALSE),"")</f>
        <v/>
      </c>
      <c r="G28">
        <f>'Express Input Form'!F39</f>
        <v>0</v>
      </c>
      <c r="H28">
        <f>'Express Input Form'!G39</f>
        <v>0</v>
      </c>
      <c r="J28" s="100"/>
      <c r="L28" s="103" t="str">
        <f>'Express Input Form'!M39</f>
        <v/>
      </c>
      <c r="M28" s="103" t="str">
        <f t="shared" si="0"/>
        <v/>
      </c>
      <c r="N28" s="103" t="str" cm="1">
        <f t="array" ref="N28">IFERROR(IF(TotalCappedIncentive&lt;&gt;Incentives_Total,"TRUE", "FALSE"),"")</f>
        <v/>
      </c>
      <c r="O28" t="str">
        <f>_xlfn.CONCAT(Summary!$M$6, " ", TEXT(Summary!$M$7,"mm/dd/yyyy"))</f>
        <v>Express LT V7/11/2025</v>
      </c>
      <c r="P28" cm="1">
        <f t="array" ref="P28:Q28">IFERROR(VLOOKUP('Express Input Form'!G35:H35,'Dropdown Tables'!B28:C49,2,FALSE),)</f>
        <v>0</v>
      </c>
      <c r="Q28">
        <v>0</v>
      </c>
      <c r="U28" t="str">
        <f t="shared" si="2"/>
        <v/>
      </c>
      <c r="V28" s="104" t="str">
        <f>IFERROR((L28-'Express Input Form'!T39)/M28,"")</f>
        <v/>
      </c>
    </row>
    <row r="29" spans="1:22" x14ac:dyDescent="0.3">
      <c r="A29" s="98">
        <f>'Express Input Form'!$W$3</f>
        <v>0</v>
      </c>
      <c r="B29" t="str">
        <f>IFERROR(VLOOKUP(E29,'Measure Table'!$D$2:$R$179,3,FALSE), "")</f>
        <v/>
      </c>
      <c r="C29" t="str">
        <f t="shared" si="1"/>
        <v>0-</v>
      </c>
      <c r="D29" s="101">
        <f>'Express Input Form'!$W$5</f>
        <v>0</v>
      </c>
      <c r="E29" t="str">
        <f>'Express Input Form'!K40</f>
        <v/>
      </c>
      <c r="F29" t="str">
        <f>IFERROR(VLOOKUP(E29,'Measure Table'!$D$2:$R$179, 2, FALSE),"")</f>
        <v/>
      </c>
      <c r="G29">
        <f>'Express Input Form'!F40</f>
        <v>0</v>
      </c>
      <c r="H29">
        <f>'Express Input Form'!G40</f>
        <v>0</v>
      </c>
      <c r="J29" s="100"/>
      <c r="L29" s="103" t="str">
        <f>'Express Input Form'!M40</f>
        <v/>
      </c>
      <c r="M29" s="103" t="str">
        <f t="shared" si="0"/>
        <v/>
      </c>
      <c r="N29" s="103" t="str" cm="1">
        <f t="array" ref="N29">IFERROR(IF(TotalCappedIncentive&lt;&gt;Incentives_Total,"TRUE", "FALSE"),"")</f>
        <v/>
      </c>
      <c r="O29" t="str">
        <f>_xlfn.CONCAT(Summary!$M$6, " ", TEXT(Summary!$M$7,"mm/dd/yyyy"))</f>
        <v>Express LT V7/11/2025</v>
      </c>
      <c r="P29" cm="1">
        <f t="array" ref="P29:Q29">IFERROR(VLOOKUP('Express Input Form'!G36:H36,'Dropdown Tables'!B29:C50,2,FALSE),)</f>
        <v>0</v>
      </c>
      <c r="Q29">
        <v>0</v>
      </c>
      <c r="U29" t="str">
        <f t="shared" si="2"/>
        <v/>
      </c>
      <c r="V29" s="104" t="str">
        <f>IFERROR((L29-'Express Input Form'!T40)/M29,"")</f>
        <v/>
      </c>
    </row>
    <row r="30" spans="1:22" x14ac:dyDescent="0.3">
      <c r="A30" s="98">
        <f>'Express Input Form'!$W$3</f>
        <v>0</v>
      </c>
      <c r="B30" t="str">
        <f>IFERROR(VLOOKUP(E30,'Measure Table'!$D$2:$R$179,3,FALSE), "")</f>
        <v/>
      </c>
      <c r="C30" t="str">
        <f t="shared" si="1"/>
        <v>0-</v>
      </c>
      <c r="D30" s="101">
        <f>'Express Input Form'!$W$5</f>
        <v>0</v>
      </c>
      <c r="E30" t="str">
        <f>'Express Input Form'!K41</f>
        <v/>
      </c>
      <c r="F30" t="str">
        <f>IFERROR(VLOOKUP(E30,'Measure Table'!$D$2:$R$179, 2, FALSE),"")</f>
        <v/>
      </c>
      <c r="G30">
        <f>'Express Input Form'!F41</f>
        <v>0</v>
      </c>
      <c r="H30">
        <f>'Express Input Form'!G41</f>
        <v>0</v>
      </c>
      <c r="J30" s="100"/>
      <c r="L30" s="103" t="str">
        <f>'Express Input Form'!M41</f>
        <v/>
      </c>
      <c r="M30" s="103" t="str">
        <f t="shared" si="0"/>
        <v/>
      </c>
      <c r="N30" s="103" t="str" cm="1">
        <f t="array" ref="N30">IFERROR(IF(TotalCappedIncentive&lt;&gt;Incentives_Total,"TRUE", "FALSE"),"")</f>
        <v/>
      </c>
      <c r="O30" t="str">
        <f>_xlfn.CONCAT(Summary!$M$6, " ", TEXT(Summary!$M$7,"mm/dd/yyyy"))</f>
        <v>Express LT V7/11/2025</v>
      </c>
      <c r="P30" cm="1">
        <f t="array" ref="P30:Q30">IFERROR(VLOOKUP('Express Input Form'!G37:H37,'Dropdown Tables'!B30:C51,2,FALSE),)</f>
        <v>0</v>
      </c>
      <c r="Q30">
        <v>0</v>
      </c>
      <c r="U30" t="str">
        <f t="shared" si="2"/>
        <v/>
      </c>
      <c r="V30" s="104" t="str">
        <f>IFERROR((L30-'Express Input Form'!T41)/M30,"")</f>
        <v/>
      </c>
    </row>
    <row r="31" spans="1:22" x14ac:dyDescent="0.3">
      <c r="A31" s="98">
        <f>'Express Input Form'!$W$3</f>
        <v>0</v>
      </c>
      <c r="B31" t="str">
        <f>IFERROR(VLOOKUP(E31,'Measure Table'!$D$2:$R$179,3,FALSE), "")</f>
        <v/>
      </c>
      <c r="C31" t="str">
        <f t="shared" si="1"/>
        <v>0-</v>
      </c>
      <c r="D31" s="101">
        <f>'Express Input Form'!$W$5</f>
        <v>0</v>
      </c>
      <c r="E31" t="str">
        <f>'Express Input Form'!K42</f>
        <v/>
      </c>
      <c r="F31" t="str">
        <f>IFERROR(VLOOKUP(E31,'Measure Table'!$D$2:$R$179, 2, FALSE),"")</f>
        <v/>
      </c>
      <c r="G31">
        <f>'Express Input Form'!F42</f>
        <v>0</v>
      </c>
      <c r="H31">
        <f>'Express Input Form'!G42</f>
        <v>0</v>
      </c>
      <c r="J31" s="100"/>
      <c r="L31" s="103" t="str">
        <f>'Express Input Form'!M42</f>
        <v/>
      </c>
      <c r="M31" s="103" t="str">
        <f t="shared" si="0"/>
        <v/>
      </c>
      <c r="N31" s="103" t="str" cm="1">
        <f t="array" ref="N31">IFERROR(IF(TotalCappedIncentive&lt;&gt;Incentives_Total,"TRUE", "FALSE"),"")</f>
        <v/>
      </c>
      <c r="O31" t="str">
        <f>_xlfn.CONCAT(Summary!$M$6, " ", TEXT(Summary!$M$7,"mm/dd/yyyy"))</f>
        <v>Express LT V7/11/2025</v>
      </c>
      <c r="P31" cm="1">
        <f t="array" ref="P31:Q31">IFERROR(VLOOKUP('Express Input Form'!G38:H38,'Dropdown Tables'!B31:C52,2,FALSE),)</f>
        <v>0</v>
      </c>
      <c r="Q31">
        <v>0</v>
      </c>
      <c r="U31" t="str">
        <f t="shared" si="2"/>
        <v/>
      </c>
      <c r="V31" s="104" t="str">
        <f>IFERROR((L31-'Express Input Form'!T42)/M31,"")</f>
        <v/>
      </c>
    </row>
    <row r="32" spans="1:22" x14ac:dyDescent="0.3">
      <c r="A32" s="98">
        <f>'Express Input Form'!$W$3</f>
        <v>0</v>
      </c>
      <c r="B32" t="str">
        <f>IFERROR(VLOOKUP(E32,'Measure Table'!$D$2:$R$179,3,FALSE), "")</f>
        <v/>
      </c>
      <c r="C32" t="str">
        <f t="shared" si="1"/>
        <v>0-</v>
      </c>
      <c r="D32" s="101">
        <f>'Express Input Form'!$W$5</f>
        <v>0</v>
      </c>
      <c r="E32" t="str">
        <f>'Express Input Form'!K43</f>
        <v/>
      </c>
      <c r="F32" t="str">
        <f>IFERROR(VLOOKUP(E32,'Measure Table'!$D$2:$R$179, 2, FALSE),"")</f>
        <v/>
      </c>
      <c r="G32">
        <f>'Express Input Form'!F43</f>
        <v>0</v>
      </c>
      <c r="H32">
        <f>'Express Input Form'!G43</f>
        <v>0</v>
      </c>
      <c r="J32" s="100"/>
      <c r="L32" s="103" t="str">
        <f>'Express Input Form'!M43</f>
        <v/>
      </c>
      <c r="M32" s="103" t="str">
        <f t="shared" si="0"/>
        <v/>
      </c>
      <c r="N32" s="103" t="str" cm="1">
        <f t="array" ref="N32">IFERROR(IF(TotalCappedIncentive&lt;&gt;Incentives_Total,"TRUE", "FALSE"),"")</f>
        <v/>
      </c>
      <c r="O32" t="str">
        <f>_xlfn.CONCAT(Summary!$M$6, " ", TEXT(Summary!$M$7,"mm/dd/yyyy"))</f>
        <v>Express LT V7/11/2025</v>
      </c>
      <c r="P32" cm="1">
        <f t="array" ref="P32:Q32">IFERROR(VLOOKUP('Express Input Form'!G39:H39,'Dropdown Tables'!B32:C53,2,FALSE),)</f>
        <v>0</v>
      </c>
      <c r="Q32">
        <v>0</v>
      </c>
      <c r="U32" t="str">
        <f t="shared" si="2"/>
        <v/>
      </c>
      <c r="V32" s="104" t="str">
        <f>IFERROR((L32-'Express Input Form'!T43)/M32,"")</f>
        <v/>
      </c>
    </row>
    <row r="33" spans="1:22" x14ac:dyDescent="0.3">
      <c r="A33" s="98">
        <f>'Express Input Form'!$W$3</f>
        <v>0</v>
      </c>
      <c r="B33" t="str">
        <f>IFERROR(VLOOKUP(E33,'Measure Table'!$D$2:$R$179,3,FALSE), "")</f>
        <v/>
      </c>
      <c r="C33" t="str">
        <f t="shared" si="1"/>
        <v>0-</v>
      </c>
      <c r="D33" s="101">
        <f>'Express Input Form'!$W$5</f>
        <v>0</v>
      </c>
      <c r="E33" t="str">
        <f>'Express Input Form'!K44</f>
        <v/>
      </c>
      <c r="F33" t="str">
        <f>IFERROR(VLOOKUP(E33,'Measure Table'!$D$2:$R$179, 2, FALSE),"")</f>
        <v/>
      </c>
      <c r="G33">
        <f>'Express Input Form'!F44</f>
        <v>0</v>
      </c>
      <c r="H33">
        <f>'Express Input Form'!G44</f>
        <v>0</v>
      </c>
      <c r="J33" s="100"/>
      <c r="L33" s="103" t="str">
        <f>'Express Input Form'!M44</f>
        <v/>
      </c>
      <c r="M33" s="103" t="str">
        <f t="shared" si="0"/>
        <v/>
      </c>
      <c r="N33" s="103" t="str" cm="1">
        <f t="array" ref="N33">IFERROR(IF(TotalCappedIncentive&lt;&gt;Incentives_Total,"TRUE", "FALSE"),"")</f>
        <v/>
      </c>
      <c r="O33" t="str">
        <f>_xlfn.CONCAT(Summary!$M$6, " ", TEXT(Summary!$M$7,"mm/dd/yyyy"))</f>
        <v>Express LT V7/11/2025</v>
      </c>
      <c r="P33" cm="1">
        <f t="array" ref="P33:Q33">IFERROR(VLOOKUP('Express Input Form'!G40:H40,'Dropdown Tables'!B33:C54,2,FALSE),)</f>
        <v>0</v>
      </c>
      <c r="Q33">
        <v>0</v>
      </c>
      <c r="U33" t="str">
        <f t="shared" si="2"/>
        <v/>
      </c>
      <c r="V33" s="104" t="str">
        <f>IFERROR((L33-'Express Input Form'!T44)/M33,"")</f>
        <v/>
      </c>
    </row>
    <row r="34" spans="1:22" x14ac:dyDescent="0.3">
      <c r="A34" s="98">
        <f>'Express Input Form'!$W$3</f>
        <v>0</v>
      </c>
      <c r="B34" t="str">
        <f>IFERROR(VLOOKUP(E34,'Measure Table'!$D$2:$R$179,3,FALSE), "")</f>
        <v/>
      </c>
      <c r="C34" t="str">
        <f t="shared" si="1"/>
        <v>0-</v>
      </c>
      <c r="D34" s="101">
        <f>'Express Input Form'!$W$5</f>
        <v>0</v>
      </c>
      <c r="E34" t="str">
        <f>'Express Input Form'!K45</f>
        <v/>
      </c>
      <c r="F34" t="str">
        <f>IFERROR(VLOOKUP(E34,'Measure Table'!$D$2:$R$179, 2, FALSE),"")</f>
        <v/>
      </c>
      <c r="G34">
        <f>'Express Input Form'!F45</f>
        <v>0</v>
      </c>
      <c r="H34">
        <f>'Express Input Form'!G45</f>
        <v>0</v>
      </c>
      <c r="J34" s="100"/>
      <c r="L34" s="103" t="str">
        <f>'Express Input Form'!M45</f>
        <v/>
      </c>
      <c r="M34" s="103" t="str">
        <f t="shared" si="0"/>
        <v/>
      </c>
      <c r="N34" s="103" t="str" cm="1">
        <f t="array" ref="N34">IFERROR(IF(TotalCappedIncentive&lt;&gt;Incentives_Total,"TRUE", "FALSE"),"")</f>
        <v/>
      </c>
      <c r="O34" t="str">
        <f>_xlfn.CONCAT(Summary!$M$6, " ", TEXT(Summary!$M$7,"mm/dd/yyyy"))</f>
        <v>Express LT V7/11/2025</v>
      </c>
      <c r="P34" cm="1">
        <f t="array" ref="P34:Q34">IFERROR(VLOOKUP('Express Input Form'!G41:H41,'Dropdown Tables'!B34:C55,2,FALSE),)</f>
        <v>0</v>
      </c>
      <c r="Q34">
        <v>0</v>
      </c>
      <c r="U34" t="str">
        <f t="shared" si="2"/>
        <v/>
      </c>
      <c r="V34" s="104" t="str">
        <f>IFERROR((L34-'Express Input Form'!T45)/M34,"")</f>
        <v/>
      </c>
    </row>
    <row r="35" spans="1:22" x14ac:dyDescent="0.3">
      <c r="A35" s="98">
        <f>'Express Input Form'!$W$3</f>
        <v>0</v>
      </c>
      <c r="B35" t="str">
        <f>IFERROR(VLOOKUP(E35,'Measure Table'!$D$2:$R$179,3,FALSE), "")</f>
        <v/>
      </c>
      <c r="C35" t="str">
        <f t="shared" si="1"/>
        <v>0-</v>
      </c>
      <c r="D35" s="101">
        <f>'Express Input Form'!$W$5</f>
        <v>0</v>
      </c>
      <c r="E35" t="str">
        <f>'Express Input Form'!K46</f>
        <v/>
      </c>
      <c r="F35" t="str">
        <f>IFERROR(VLOOKUP(E35,'Measure Table'!$D$2:$R$179, 2, FALSE),"")</f>
        <v/>
      </c>
      <c r="G35">
        <f>'Express Input Form'!F46</f>
        <v>0</v>
      </c>
      <c r="H35">
        <f>'Express Input Form'!G46</f>
        <v>0</v>
      </c>
      <c r="J35" s="100"/>
      <c r="L35" s="103" t="str">
        <f>'Express Input Form'!M46</f>
        <v/>
      </c>
      <c r="M35" s="103" t="str">
        <f t="shared" si="0"/>
        <v/>
      </c>
      <c r="N35" s="103" t="str" cm="1">
        <f t="array" ref="N35">IFERROR(IF(TotalCappedIncentive&lt;&gt;Incentives_Total,"TRUE", "FALSE"),"")</f>
        <v/>
      </c>
      <c r="O35" t="str">
        <f>_xlfn.CONCAT(Summary!$M$6, " ", TEXT(Summary!$M$7,"mm/dd/yyyy"))</f>
        <v>Express LT V7/11/2025</v>
      </c>
      <c r="P35" cm="1">
        <f t="array" ref="P35:Q35">IFERROR(VLOOKUP('Express Input Form'!G42:H42,'Dropdown Tables'!B35:C56,2,FALSE),)</f>
        <v>0</v>
      </c>
      <c r="Q35">
        <v>0</v>
      </c>
      <c r="U35" t="str">
        <f t="shared" si="2"/>
        <v/>
      </c>
      <c r="V35" s="104" t="str">
        <f>IFERROR((L35-'Express Input Form'!T46)/M35,"")</f>
        <v/>
      </c>
    </row>
    <row r="36" spans="1:22" x14ac:dyDescent="0.3">
      <c r="A36" s="98">
        <f>'Express Input Form'!$W$3</f>
        <v>0</v>
      </c>
      <c r="B36" t="str">
        <f>IFERROR(VLOOKUP(E36,'Measure Table'!$D$2:$R$179,3,FALSE), "")</f>
        <v/>
      </c>
      <c r="C36" t="str">
        <f t="shared" si="1"/>
        <v>0-</v>
      </c>
      <c r="D36" s="101">
        <f>'Express Input Form'!$W$5</f>
        <v>0</v>
      </c>
      <c r="E36" t="str">
        <f>'Express Input Form'!K47</f>
        <v/>
      </c>
      <c r="F36" t="str">
        <f>IFERROR(VLOOKUP(E36,'Measure Table'!$D$2:$R$179, 2, FALSE),"")</f>
        <v/>
      </c>
      <c r="G36">
        <f>'Express Input Form'!F47</f>
        <v>0</v>
      </c>
      <c r="H36">
        <f>'Express Input Form'!G47</f>
        <v>0</v>
      </c>
      <c r="J36" s="100"/>
      <c r="L36" s="103" t="str">
        <f>'Express Input Form'!M47</f>
        <v/>
      </c>
      <c r="M36" s="103" t="str">
        <f t="shared" si="0"/>
        <v/>
      </c>
      <c r="N36" s="103" t="str" cm="1">
        <f t="array" ref="N36">IFERROR(IF(TotalCappedIncentive&lt;&gt;Incentives_Total,"TRUE", "FALSE"),"")</f>
        <v/>
      </c>
      <c r="O36" t="str">
        <f>_xlfn.CONCAT(Summary!$M$6, " ", TEXT(Summary!$M$7,"mm/dd/yyyy"))</f>
        <v>Express LT V7/11/2025</v>
      </c>
      <c r="P36" cm="1">
        <f t="array" ref="P36:Q36">IFERROR(VLOOKUP('Express Input Form'!G43:H43,'Dropdown Tables'!B36:C57,2,FALSE),)</f>
        <v>0</v>
      </c>
      <c r="Q36">
        <v>0</v>
      </c>
      <c r="U36" t="str">
        <f t="shared" si="2"/>
        <v/>
      </c>
      <c r="V36" s="104" t="str">
        <f>IFERROR((L36-'Express Input Form'!T47)/M36,"")</f>
        <v/>
      </c>
    </row>
    <row r="37" spans="1:22" x14ac:dyDescent="0.3">
      <c r="G37" s="98"/>
    </row>
    <row r="38" spans="1:22" x14ac:dyDescent="0.3">
      <c r="G38" s="98"/>
    </row>
    <row r="39" spans="1:22" x14ac:dyDescent="0.3">
      <c r="G39" s="98"/>
    </row>
    <row r="40" spans="1:22" x14ac:dyDescent="0.3">
      <c r="G40" s="98"/>
    </row>
    <row r="41" spans="1:22" x14ac:dyDescent="0.3">
      <c r="G41" s="98"/>
    </row>
    <row r="42" spans="1:22" x14ac:dyDescent="0.3">
      <c r="G42" s="98"/>
    </row>
    <row r="43" spans="1:22" x14ac:dyDescent="0.3">
      <c r="G43" s="98"/>
    </row>
    <row r="44" spans="1:22" x14ac:dyDescent="0.3">
      <c r="G44" s="98"/>
    </row>
    <row r="45" spans="1:22" x14ac:dyDescent="0.3">
      <c r="G45" s="98"/>
    </row>
    <row r="46" spans="1:22" x14ac:dyDescent="0.3">
      <c r="G46" s="9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1EAE8-689E-4616-8073-A4527AAD4680}">
  <sheetPr codeName="Sheet3"/>
  <dimension ref="B1:Q302"/>
  <sheetViews>
    <sheetView zoomScale="130" zoomScaleNormal="130" workbookViewId="0">
      <selection activeCell="B6" sqref="B6"/>
    </sheetView>
  </sheetViews>
  <sheetFormatPr defaultRowHeight="14.4" x14ac:dyDescent="0.3"/>
  <cols>
    <col min="1" max="1" width="2.5546875" customWidth="1"/>
    <col min="2" max="2" width="42.21875" bestFit="1" customWidth="1"/>
    <col min="3" max="3" width="2.5546875" customWidth="1"/>
    <col min="4" max="4" width="42.21875" bestFit="1" customWidth="1"/>
    <col min="5" max="5" width="2.5546875" customWidth="1"/>
    <col min="6" max="6" width="12.44140625" bestFit="1" customWidth="1"/>
    <col min="7" max="7" width="20.109375" bestFit="1" customWidth="1"/>
    <col min="8" max="8" width="5.77734375" bestFit="1" customWidth="1"/>
    <col min="9" max="9" width="2.5546875" customWidth="1"/>
    <col min="10" max="10" width="29" bestFit="1" customWidth="1"/>
    <col min="11" max="11" width="2.5546875" customWidth="1"/>
    <col min="12" max="12" width="16.44140625" bestFit="1" customWidth="1"/>
    <col min="13" max="13" width="8.88671875" bestFit="1" customWidth="1"/>
    <col min="14" max="14" width="10" bestFit="1" customWidth="1"/>
    <col min="15" max="15" width="2.5546875" customWidth="1"/>
    <col min="16" max="16" width="66.6640625" bestFit="1" customWidth="1"/>
    <col min="17" max="17" width="83" bestFit="1" customWidth="1"/>
    <col min="19" max="19" width="7.21875" customWidth="1"/>
  </cols>
  <sheetData>
    <row r="1" spans="2:17" x14ac:dyDescent="0.3">
      <c r="B1" s="76" t="s">
        <v>969</v>
      </c>
      <c r="C1" s="115" t="s">
        <v>1005</v>
      </c>
      <c r="D1" s="76" t="s">
        <v>78</v>
      </c>
      <c r="F1" s="7"/>
      <c r="G1" s="8" t="s">
        <v>3</v>
      </c>
      <c r="H1" s="9" t="s">
        <v>4</v>
      </c>
      <c r="J1" s="96" t="s">
        <v>81</v>
      </c>
      <c r="L1" s="97" t="s">
        <v>82</v>
      </c>
      <c r="M1" s="8" t="s">
        <v>83</v>
      </c>
      <c r="N1" s="9" t="s">
        <v>84</v>
      </c>
      <c r="P1" s="1" t="s">
        <v>265</v>
      </c>
      <c r="Q1" s="99" t="s">
        <v>270</v>
      </c>
    </row>
    <row r="2" spans="2:17" x14ac:dyDescent="0.3">
      <c r="B2" s="77" t="s">
        <v>7</v>
      </c>
      <c r="C2" s="115" t="s">
        <v>1000</v>
      </c>
      <c r="D2" s="77" t="s">
        <v>7</v>
      </c>
      <c r="F2" s="2" t="s">
        <v>6</v>
      </c>
      <c r="G2">
        <v>0.75</v>
      </c>
      <c r="H2" s="3">
        <v>1.5</v>
      </c>
      <c r="J2" s="77" t="s">
        <v>0</v>
      </c>
      <c r="L2" s="2">
        <v>23</v>
      </c>
      <c r="M2">
        <v>7.7890000000000001E-2</v>
      </c>
      <c r="N2" s="3">
        <v>10.563000000000001</v>
      </c>
      <c r="P2" s="2" t="s">
        <v>271</v>
      </c>
      <c r="Q2" s="3" t="s">
        <v>222</v>
      </c>
    </row>
    <row r="3" spans="2:17" x14ac:dyDescent="0.3">
      <c r="B3" s="77" t="s">
        <v>9</v>
      </c>
      <c r="C3" s="115" t="s">
        <v>990</v>
      </c>
      <c r="D3" s="77" t="s">
        <v>9</v>
      </c>
      <c r="F3" s="2" t="s">
        <v>8</v>
      </c>
      <c r="G3">
        <v>1</v>
      </c>
      <c r="H3" s="3">
        <v>2</v>
      </c>
      <c r="J3" s="77" t="s">
        <v>566</v>
      </c>
      <c r="L3" s="2">
        <v>6</v>
      </c>
      <c r="M3">
        <v>4.802E-2</v>
      </c>
      <c r="N3" s="3">
        <v>16.388000000000002</v>
      </c>
      <c r="P3" s="2" t="s">
        <v>567</v>
      </c>
      <c r="Q3" s="3" t="s">
        <v>93</v>
      </c>
    </row>
    <row r="4" spans="2:17" x14ac:dyDescent="0.3">
      <c r="B4" s="77" t="s">
        <v>32</v>
      </c>
      <c r="C4" s="115" t="s">
        <v>1002</v>
      </c>
      <c r="D4" s="77" t="s">
        <v>32</v>
      </c>
      <c r="F4" s="2" t="s">
        <v>10</v>
      </c>
      <c r="G4">
        <v>1.25</v>
      </c>
      <c r="H4" s="3">
        <v>2.5</v>
      </c>
      <c r="J4" s="77" t="s">
        <v>1</v>
      </c>
      <c r="L4" s="2">
        <v>9</v>
      </c>
      <c r="M4">
        <v>6.8959999999999994E-2</v>
      </c>
      <c r="N4" s="3">
        <v>21.475000000000001</v>
      </c>
      <c r="P4" s="2" t="s">
        <v>272</v>
      </c>
      <c r="Q4" s="3" t="s">
        <v>179</v>
      </c>
    </row>
    <row r="5" spans="2:17" x14ac:dyDescent="0.3">
      <c r="B5" s="77" t="s">
        <v>76</v>
      </c>
      <c r="C5" s="115" t="s">
        <v>994</v>
      </c>
      <c r="D5" s="77" t="s">
        <v>28</v>
      </c>
      <c r="F5" s="2" t="s">
        <v>12</v>
      </c>
      <c r="G5">
        <v>1.75</v>
      </c>
      <c r="H5" s="3">
        <v>3.5</v>
      </c>
      <c r="J5" s="77" t="s">
        <v>2</v>
      </c>
      <c r="L5" s="2">
        <v>8</v>
      </c>
      <c r="M5">
        <v>7.3859999999999995E-2</v>
      </c>
      <c r="N5" s="3">
        <v>24.742999999999999</v>
      </c>
      <c r="P5" s="2" t="s">
        <v>273</v>
      </c>
      <c r="Q5" s="3" t="s">
        <v>136</v>
      </c>
    </row>
    <row r="6" spans="2:17" ht="15" thickBot="1" x14ac:dyDescent="0.35">
      <c r="B6" s="77" t="s">
        <v>28</v>
      </c>
      <c r="C6" s="115" t="s">
        <v>997</v>
      </c>
      <c r="D6" s="77" t="s">
        <v>16</v>
      </c>
      <c r="F6" s="2" t="s">
        <v>15</v>
      </c>
      <c r="H6" s="3"/>
      <c r="J6" s="78" t="s">
        <v>43</v>
      </c>
      <c r="L6" s="2" t="s">
        <v>85</v>
      </c>
      <c r="N6" s="3" t="e">
        <f>VLOOKUP('Express Input Form'!G10,'Dropdown Tables'!L2:N5,2,FALSE )</f>
        <v>#N/A</v>
      </c>
      <c r="P6" s="2" t="s">
        <v>274</v>
      </c>
      <c r="Q6" s="3" t="s">
        <v>87</v>
      </c>
    </row>
    <row r="7" spans="2:17" ht="15" thickBot="1" x14ac:dyDescent="0.35">
      <c r="B7" s="77" t="s">
        <v>16</v>
      </c>
      <c r="C7" s="115" t="s">
        <v>16</v>
      </c>
      <c r="D7" s="77" t="s">
        <v>11</v>
      </c>
      <c r="F7" s="2" t="s">
        <v>6</v>
      </c>
      <c r="G7">
        <v>0</v>
      </c>
      <c r="H7" s="3"/>
      <c r="L7" s="4" t="s">
        <v>565</v>
      </c>
      <c r="M7" s="5"/>
      <c r="N7" s="6" t="e">
        <f>VLOOKUP('Express Input Form'!G10,'Dropdown Tables'!L2:N5,3,FALSE )</f>
        <v>#N/A</v>
      </c>
      <c r="P7" s="2" t="s">
        <v>275</v>
      </c>
      <c r="Q7" s="3" t="s">
        <v>89</v>
      </c>
    </row>
    <row r="8" spans="2:17" x14ac:dyDescent="0.3">
      <c r="B8" s="77" t="s">
        <v>11</v>
      </c>
      <c r="C8" s="115" t="s">
        <v>996</v>
      </c>
      <c r="D8" s="77" t="s">
        <v>20</v>
      </c>
      <c r="F8" s="2" t="s">
        <v>8</v>
      </c>
      <c r="G8">
        <v>0</v>
      </c>
      <c r="H8" s="3"/>
      <c r="P8" s="2" t="s">
        <v>276</v>
      </c>
      <c r="Q8" s="3" t="s">
        <v>91</v>
      </c>
    </row>
    <row r="9" spans="2:17" x14ac:dyDescent="0.3">
      <c r="B9" s="77" t="s">
        <v>20</v>
      </c>
      <c r="C9" s="115" t="s">
        <v>998</v>
      </c>
      <c r="D9" s="77" t="s">
        <v>18</v>
      </c>
      <c r="F9" s="2" t="s">
        <v>10</v>
      </c>
      <c r="G9">
        <v>0.4</v>
      </c>
      <c r="H9" s="3"/>
      <c r="P9" s="2" t="s">
        <v>277</v>
      </c>
      <c r="Q9" s="3" t="s">
        <v>223</v>
      </c>
    </row>
    <row r="10" spans="2:17" ht="15" thickBot="1" x14ac:dyDescent="0.35">
      <c r="B10" s="77" t="s">
        <v>18</v>
      </c>
      <c r="C10" s="115" t="s">
        <v>999</v>
      </c>
      <c r="D10" s="77" t="s">
        <v>30</v>
      </c>
      <c r="F10" s="4" t="s">
        <v>12</v>
      </c>
      <c r="G10" s="5">
        <v>0.65</v>
      </c>
      <c r="H10" s="6"/>
      <c r="P10" s="2" t="s">
        <v>568</v>
      </c>
      <c r="Q10" s="3" t="s">
        <v>94</v>
      </c>
    </row>
    <row r="11" spans="2:17" ht="15" thickBot="1" x14ac:dyDescent="0.35">
      <c r="B11" s="77" t="s">
        <v>30</v>
      </c>
      <c r="C11" s="115" t="s">
        <v>999</v>
      </c>
      <c r="D11" s="77" t="s">
        <v>31</v>
      </c>
      <c r="P11" s="2" t="s">
        <v>278</v>
      </c>
      <c r="Q11" s="3" t="s">
        <v>180</v>
      </c>
    </row>
    <row r="12" spans="2:17" x14ac:dyDescent="0.3">
      <c r="B12" s="77" t="s">
        <v>31</v>
      </c>
      <c r="C12" s="115" t="s">
        <v>999</v>
      </c>
      <c r="D12" s="77" t="s">
        <v>21</v>
      </c>
      <c r="F12" s="7" t="s">
        <v>22</v>
      </c>
      <c r="G12" s="8" t="s">
        <v>984</v>
      </c>
      <c r="H12" s="9" t="s">
        <v>23</v>
      </c>
      <c r="P12" s="2" t="s">
        <v>279</v>
      </c>
      <c r="Q12" s="3" t="s">
        <v>137</v>
      </c>
    </row>
    <row r="13" spans="2:17" x14ac:dyDescent="0.3">
      <c r="B13" s="77" t="s">
        <v>21</v>
      </c>
      <c r="C13" s="115" t="s">
        <v>21</v>
      </c>
      <c r="D13" s="77" t="s">
        <v>13</v>
      </c>
      <c r="F13" s="2">
        <v>1</v>
      </c>
      <c r="G13" t="s">
        <v>981</v>
      </c>
      <c r="H13" s="3">
        <v>47</v>
      </c>
      <c r="P13" s="2" t="s">
        <v>280</v>
      </c>
      <c r="Q13" s="3" t="s">
        <v>88</v>
      </c>
    </row>
    <row r="14" spans="2:17" x14ac:dyDescent="0.3">
      <c r="B14" s="77" t="s">
        <v>13</v>
      </c>
      <c r="C14" s="115" t="s">
        <v>995</v>
      </c>
      <c r="D14" s="77" t="s">
        <v>24</v>
      </c>
      <c r="F14" s="2">
        <v>2</v>
      </c>
      <c r="G14" t="s">
        <v>982</v>
      </c>
      <c r="H14" s="3">
        <v>95</v>
      </c>
      <c r="P14" s="2" t="s">
        <v>281</v>
      </c>
      <c r="Q14" s="3" t="s">
        <v>90</v>
      </c>
    </row>
    <row r="15" spans="2:17" ht="15" thickBot="1" x14ac:dyDescent="0.35">
      <c r="B15" s="77" t="s">
        <v>24</v>
      </c>
      <c r="C15" s="115" t="s">
        <v>992</v>
      </c>
      <c r="D15" s="77" t="s">
        <v>25</v>
      </c>
      <c r="F15" s="4">
        <v>3</v>
      </c>
      <c r="G15" s="5" t="s">
        <v>983</v>
      </c>
      <c r="H15" s="6">
        <v>285</v>
      </c>
      <c r="P15" s="2" t="s">
        <v>282</v>
      </c>
      <c r="Q15" s="3" t="s">
        <v>92</v>
      </c>
    </row>
    <row r="16" spans="2:17" x14ac:dyDescent="0.3">
      <c r="B16" s="77" t="s">
        <v>25</v>
      </c>
      <c r="C16" s="115" t="s">
        <v>1001</v>
      </c>
      <c r="D16" s="77" t="s">
        <v>5</v>
      </c>
      <c r="P16" s="2" t="s">
        <v>283</v>
      </c>
      <c r="Q16" s="3" t="s">
        <v>224</v>
      </c>
    </row>
    <row r="17" spans="2:17" x14ac:dyDescent="0.3">
      <c r="B17" s="77" t="s">
        <v>5</v>
      </c>
      <c r="C17" s="115" t="s">
        <v>1001</v>
      </c>
      <c r="D17" s="77" t="s">
        <v>29</v>
      </c>
      <c r="P17" s="2" t="s">
        <v>569</v>
      </c>
      <c r="Q17" s="3" t="s">
        <v>95</v>
      </c>
    </row>
    <row r="18" spans="2:17" x14ac:dyDescent="0.3">
      <c r="B18" s="77" t="s">
        <v>29</v>
      </c>
      <c r="C18" s="115" t="s">
        <v>1001</v>
      </c>
      <c r="D18" s="77" t="s">
        <v>17</v>
      </c>
      <c r="P18" s="2" t="s">
        <v>284</v>
      </c>
      <c r="Q18" s="3" t="s">
        <v>181</v>
      </c>
    </row>
    <row r="19" spans="2:17" x14ac:dyDescent="0.3">
      <c r="B19" s="77" t="s">
        <v>17</v>
      </c>
      <c r="C19" s="115" t="s">
        <v>1001</v>
      </c>
      <c r="D19" s="77" t="s">
        <v>14</v>
      </c>
      <c r="P19" s="2" t="s">
        <v>285</v>
      </c>
      <c r="Q19" s="3" t="s">
        <v>138</v>
      </c>
    </row>
    <row r="20" spans="2:17" x14ac:dyDescent="0.3">
      <c r="B20" s="77" t="s">
        <v>14</v>
      </c>
      <c r="C20" s="115" t="s">
        <v>991</v>
      </c>
      <c r="D20" s="77" t="s">
        <v>27</v>
      </c>
      <c r="F20" s="10"/>
      <c r="P20" s="2" t="s">
        <v>286</v>
      </c>
      <c r="Q20" s="3" t="s">
        <v>87</v>
      </c>
    </row>
    <row r="21" spans="2:17" x14ac:dyDescent="0.3">
      <c r="B21" s="77" t="s">
        <v>27</v>
      </c>
      <c r="C21" s="115" t="s">
        <v>993</v>
      </c>
      <c r="D21" s="77" t="s">
        <v>19</v>
      </c>
      <c r="F21" s="10"/>
      <c r="P21" s="2" t="s">
        <v>287</v>
      </c>
      <c r="Q21" s="3" t="s">
        <v>89</v>
      </c>
    </row>
    <row r="22" spans="2:17" ht="15" thickBot="1" x14ac:dyDescent="0.35">
      <c r="B22" s="77" t="s">
        <v>19</v>
      </c>
      <c r="C22" s="115" t="s">
        <v>1003</v>
      </c>
      <c r="D22" s="78" t="s">
        <v>26</v>
      </c>
      <c r="F22" s="10"/>
      <c r="P22" s="2" t="s">
        <v>288</v>
      </c>
      <c r="Q22" s="3" t="s">
        <v>91</v>
      </c>
    </row>
    <row r="23" spans="2:17" ht="15" thickBot="1" x14ac:dyDescent="0.35">
      <c r="B23" s="78" t="s">
        <v>26</v>
      </c>
      <c r="C23" s="115" t="s">
        <v>1004</v>
      </c>
      <c r="F23" s="10"/>
      <c r="P23" s="2" t="s">
        <v>289</v>
      </c>
      <c r="Q23" s="3" t="s">
        <v>225</v>
      </c>
    </row>
    <row r="24" spans="2:17" x14ac:dyDescent="0.3">
      <c r="F24" s="10"/>
      <c r="P24" s="2" t="s">
        <v>570</v>
      </c>
      <c r="Q24" s="3" t="s">
        <v>96</v>
      </c>
    </row>
    <row r="25" spans="2:17" x14ac:dyDescent="0.3">
      <c r="F25" s="10"/>
      <c r="P25" s="2" t="s">
        <v>290</v>
      </c>
      <c r="Q25" s="3" t="s">
        <v>182</v>
      </c>
    </row>
    <row r="26" spans="2:17" x14ac:dyDescent="0.3">
      <c r="F26" s="10"/>
      <c r="P26" s="2" t="s">
        <v>291</v>
      </c>
      <c r="Q26" s="3" t="s">
        <v>139</v>
      </c>
    </row>
    <row r="27" spans="2:17" x14ac:dyDescent="0.3">
      <c r="F27" s="10"/>
      <c r="P27" s="2" t="s">
        <v>292</v>
      </c>
      <c r="Q27" s="3" t="s">
        <v>88</v>
      </c>
    </row>
    <row r="28" spans="2:17" x14ac:dyDescent="0.3">
      <c r="F28" s="10"/>
      <c r="P28" s="2" t="s">
        <v>293</v>
      </c>
      <c r="Q28" s="3" t="s">
        <v>90</v>
      </c>
    </row>
    <row r="29" spans="2:17" x14ac:dyDescent="0.3">
      <c r="P29" s="2" t="s">
        <v>294</v>
      </c>
      <c r="Q29" s="3" t="s">
        <v>92</v>
      </c>
    </row>
    <row r="30" spans="2:17" x14ac:dyDescent="0.3">
      <c r="P30" s="2" t="s">
        <v>295</v>
      </c>
      <c r="Q30" s="3" t="s">
        <v>226</v>
      </c>
    </row>
    <row r="31" spans="2:17" x14ac:dyDescent="0.3">
      <c r="P31" s="2" t="s">
        <v>571</v>
      </c>
      <c r="Q31" s="3" t="s">
        <v>97</v>
      </c>
    </row>
    <row r="32" spans="2:17" x14ac:dyDescent="0.3">
      <c r="P32" s="2" t="s">
        <v>296</v>
      </c>
      <c r="Q32" s="3" t="s">
        <v>183</v>
      </c>
    </row>
    <row r="33" spans="16:17" x14ac:dyDescent="0.3">
      <c r="P33" s="2" t="s">
        <v>297</v>
      </c>
      <c r="Q33" s="3" t="s">
        <v>140</v>
      </c>
    </row>
    <row r="34" spans="16:17" x14ac:dyDescent="0.3">
      <c r="P34" s="2" t="s">
        <v>298</v>
      </c>
      <c r="Q34" s="3" t="s">
        <v>87</v>
      </c>
    </row>
    <row r="35" spans="16:17" x14ac:dyDescent="0.3">
      <c r="P35" s="2" t="s">
        <v>299</v>
      </c>
      <c r="Q35" s="3" t="s">
        <v>89</v>
      </c>
    </row>
    <row r="36" spans="16:17" x14ac:dyDescent="0.3">
      <c r="P36" s="2" t="s">
        <v>300</v>
      </c>
      <c r="Q36" s="3" t="s">
        <v>91</v>
      </c>
    </row>
    <row r="37" spans="16:17" x14ac:dyDescent="0.3">
      <c r="P37" s="2" t="s">
        <v>301</v>
      </c>
      <c r="Q37" s="3" t="s">
        <v>227</v>
      </c>
    </row>
    <row r="38" spans="16:17" x14ac:dyDescent="0.3">
      <c r="P38" s="2" t="s">
        <v>572</v>
      </c>
      <c r="Q38" s="3" t="s">
        <v>98</v>
      </c>
    </row>
    <row r="39" spans="16:17" x14ac:dyDescent="0.3">
      <c r="P39" s="2" t="s">
        <v>302</v>
      </c>
      <c r="Q39" s="3" t="s">
        <v>184</v>
      </c>
    </row>
    <row r="40" spans="16:17" x14ac:dyDescent="0.3">
      <c r="P40" s="2" t="s">
        <v>303</v>
      </c>
      <c r="Q40" s="3" t="s">
        <v>141</v>
      </c>
    </row>
    <row r="41" spans="16:17" x14ac:dyDescent="0.3">
      <c r="P41" s="2" t="s">
        <v>304</v>
      </c>
      <c r="Q41" s="3" t="s">
        <v>88</v>
      </c>
    </row>
    <row r="42" spans="16:17" x14ac:dyDescent="0.3">
      <c r="P42" s="2" t="s">
        <v>305</v>
      </c>
      <c r="Q42" s="3" t="s">
        <v>90</v>
      </c>
    </row>
    <row r="43" spans="16:17" x14ac:dyDescent="0.3">
      <c r="P43" s="2" t="s">
        <v>306</v>
      </c>
      <c r="Q43" s="3" t="s">
        <v>92</v>
      </c>
    </row>
    <row r="44" spans="16:17" x14ac:dyDescent="0.3">
      <c r="P44" s="2" t="s">
        <v>307</v>
      </c>
      <c r="Q44" s="3" t="s">
        <v>228</v>
      </c>
    </row>
    <row r="45" spans="16:17" x14ac:dyDescent="0.3">
      <c r="P45" s="2" t="s">
        <v>573</v>
      </c>
      <c r="Q45" s="3" t="s">
        <v>99</v>
      </c>
    </row>
    <row r="46" spans="16:17" x14ac:dyDescent="0.3">
      <c r="P46" s="2" t="s">
        <v>308</v>
      </c>
      <c r="Q46" s="3" t="s">
        <v>185</v>
      </c>
    </row>
    <row r="47" spans="16:17" x14ac:dyDescent="0.3">
      <c r="P47" s="2" t="s">
        <v>309</v>
      </c>
      <c r="Q47" s="3" t="s">
        <v>142</v>
      </c>
    </row>
    <row r="48" spans="16:17" x14ac:dyDescent="0.3">
      <c r="P48" s="2" t="s">
        <v>310</v>
      </c>
      <c r="Q48" s="3" t="s">
        <v>88</v>
      </c>
    </row>
    <row r="49" spans="16:17" x14ac:dyDescent="0.3">
      <c r="P49" s="2" t="s">
        <v>311</v>
      </c>
      <c r="Q49" s="3" t="s">
        <v>90</v>
      </c>
    </row>
    <row r="50" spans="16:17" x14ac:dyDescent="0.3">
      <c r="P50" s="2" t="s">
        <v>312</v>
      </c>
      <c r="Q50" s="3" t="s">
        <v>92</v>
      </c>
    </row>
    <row r="51" spans="16:17" x14ac:dyDescent="0.3">
      <c r="P51" s="2" t="s">
        <v>313</v>
      </c>
      <c r="Q51" s="3" t="s">
        <v>229</v>
      </c>
    </row>
    <row r="52" spans="16:17" x14ac:dyDescent="0.3">
      <c r="P52" s="2" t="s">
        <v>574</v>
      </c>
      <c r="Q52" s="3" t="s">
        <v>100</v>
      </c>
    </row>
    <row r="53" spans="16:17" x14ac:dyDescent="0.3">
      <c r="P53" s="2" t="s">
        <v>314</v>
      </c>
      <c r="Q53" s="3" t="s">
        <v>186</v>
      </c>
    </row>
    <row r="54" spans="16:17" x14ac:dyDescent="0.3">
      <c r="P54" s="2" t="s">
        <v>315</v>
      </c>
      <c r="Q54" s="3" t="s">
        <v>143</v>
      </c>
    </row>
    <row r="55" spans="16:17" x14ac:dyDescent="0.3">
      <c r="P55" s="2" t="s">
        <v>316</v>
      </c>
      <c r="Q55" s="3" t="s">
        <v>87</v>
      </c>
    </row>
    <row r="56" spans="16:17" x14ac:dyDescent="0.3">
      <c r="P56" s="2" t="s">
        <v>317</v>
      </c>
      <c r="Q56" s="3" t="s">
        <v>89</v>
      </c>
    </row>
    <row r="57" spans="16:17" x14ac:dyDescent="0.3">
      <c r="P57" s="2" t="s">
        <v>318</v>
      </c>
      <c r="Q57" s="3" t="s">
        <v>91</v>
      </c>
    </row>
    <row r="58" spans="16:17" x14ac:dyDescent="0.3">
      <c r="P58" s="2" t="s">
        <v>319</v>
      </c>
      <c r="Q58" s="3" t="s">
        <v>230</v>
      </c>
    </row>
    <row r="59" spans="16:17" x14ac:dyDescent="0.3">
      <c r="P59" s="2" t="s">
        <v>575</v>
      </c>
      <c r="Q59" s="3" t="s">
        <v>101</v>
      </c>
    </row>
    <row r="60" spans="16:17" x14ac:dyDescent="0.3">
      <c r="P60" s="2" t="s">
        <v>320</v>
      </c>
      <c r="Q60" s="3" t="s">
        <v>187</v>
      </c>
    </row>
    <row r="61" spans="16:17" x14ac:dyDescent="0.3">
      <c r="P61" s="2" t="s">
        <v>321</v>
      </c>
      <c r="Q61" s="3" t="s">
        <v>144</v>
      </c>
    </row>
    <row r="62" spans="16:17" x14ac:dyDescent="0.3">
      <c r="P62" s="2" t="s">
        <v>322</v>
      </c>
      <c r="Q62" s="3" t="s">
        <v>88</v>
      </c>
    </row>
    <row r="63" spans="16:17" x14ac:dyDescent="0.3">
      <c r="P63" s="2" t="s">
        <v>323</v>
      </c>
      <c r="Q63" s="3" t="s">
        <v>90</v>
      </c>
    </row>
    <row r="64" spans="16:17" x14ac:dyDescent="0.3">
      <c r="P64" s="2" t="s">
        <v>324</v>
      </c>
      <c r="Q64" s="3" t="s">
        <v>92</v>
      </c>
    </row>
    <row r="65" spans="16:17" x14ac:dyDescent="0.3">
      <c r="P65" s="2" t="s">
        <v>325</v>
      </c>
      <c r="Q65" s="3" t="s">
        <v>231</v>
      </c>
    </row>
    <row r="66" spans="16:17" x14ac:dyDescent="0.3">
      <c r="P66" s="2" t="s">
        <v>576</v>
      </c>
      <c r="Q66" s="3" t="s">
        <v>102</v>
      </c>
    </row>
    <row r="67" spans="16:17" x14ac:dyDescent="0.3">
      <c r="P67" s="2" t="s">
        <v>326</v>
      </c>
      <c r="Q67" s="3" t="s">
        <v>188</v>
      </c>
    </row>
    <row r="68" spans="16:17" x14ac:dyDescent="0.3">
      <c r="P68" s="2" t="s">
        <v>327</v>
      </c>
      <c r="Q68" s="3" t="s">
        <v>145</v>
      </c>
    </row>
    <row r="69" spans="16:17" x14ac:dyDescent="0.3">
      <c r="P69" s="2" t="s">
        <v>328</v>
      </c>
      <c r="Q69" s="3" t="s">
        <v>87</v>
      </c>
    </row>
    <row r="70" spans="16:17" x14ac:dyDescent="0.3">
      <c r="P70" s="2" t="s">
        <v>329</v>
      </c>
      <c r="Q70" s="3" t="s">
        <v>89</v>
      </c>
    </row>
    <row r="71" spans="16:17" x14ac:dyDescent="0.3">
      <c r="P71" s="2" t="s">
        <v>330</v>
      </c>
      <c r="Q71" s="3" t="s">
        <v>91</v>
      </c>
    </row>
    <row r="72" spans="16:17" x14ac:dyDescent="0.3">
      <c r="P72" s="2" t="s">
        <v>331</v>
      </c>
      <c r="Q72" s="3" t="s">
        <v>232</v>
      </c>
    </row>
    <row r="73" spans="16:17" x14ac:dyDescent="0.3">
      <c r="P73" s="2" t="s">
        <v>577</v>
      </c>
      <c r="Q73" s="3" t="s">
        <v>103</v>
      </c>
    </row>
    <row r="74" spans="16:17" x14ac:dyDescent="0.3">
      <c r="P74" s="2" t="s">
        <v>332</v>
      </c>
      <c r="Q74" s="3" t="s">
        <v>189</v>
      </c>
    </row>
    <row r="75" spans="16:17" x14ac:dyDescent="0.3">
      <c r="P75" s="2" t="s">
        <v>333</v>
      </c>
      <c r="Q75" s="3" t="s">
        <v>146</v>
      </c>
    </row>
    <row r="76" spans="16:17" x14ac:dyDescent="0.3">
      <c r="P76" s="2" t="s">
        <v>334</v>
      </c>
      <c r="Q76" s="3" t="s">
        <v>88</v>
      </c>
    </row>
    <row r="77" spans="16:17" x14ac:dyDescent="0.3">
      <c r="P77" s="2" t="s">
        <v>335</v>
      </c>
      <c r="Q77" s="3" t="s">
        <v>90</v>
      </c>
    </row>
    <row r="78" spans="16:17" x14ac:dyDescent="0.3">
      <c r="P78" s="2" t="s">
        <v>336</v>
      </c>
      <c r="Q78" s="3" t="s">
        <v>92</v>
      </c>
    </row>
    <row r="79" spans="16:17" x14ac:dyDescent="0.3">
      <c r="P79" s="2" t="s">
        <v>337</v>
      </c>
      <c r="Q79" s="3" t="s">
        <v>233</v>
      </c>
    </row>
    <row r="80" spans="16:17" x14ac:dyDescent="0.3">
      <c r="P80" s="2" t="s">
        <v>578</v>
      </c>
      <c r="Q80" s="3" t="s">
        <v>104</v>
      </c>
    </row>
    <row r="81" spans="16:17" x14ac:dyDescent="0.3">
      <c r="P81" s="2" t="s">
        <v>338</v>
      </c>
      <c r="Q81" s="3" t="s">
        <v>190</v>
      </c>
    </row>
    <row r="82" spans="16:17" x14ac:dyDescent="0.3">
      <c r="P82" s="2" t="s">
        <v>339</v>
      </c>
      <c r="Q82" s="3" t="s">
        <v>147</v>
      </c>
    </row>
    <row r="83" spans="16:17" x14ac:dyDescent="0.3">
      <c r="P83" s="2" t="s">
        <v>340</v>
      </c>
      <c r="Q83" s="3" t="s">
        <v>87</v>
      </c>
    </row>
    <row r="84" spans="16:17" x14ac:dyDescent="0.3">
      <c r="P84" s="2" t="s">
        <v>341</v>
      </c>
      <c r="Q84" s="3" t="s">
        <v>89</v>
      </c>
    </row>
    <row r="85" spans="16:17" x14ac:dyDescent="0.3">
      <c r="P85" s="2" t="s">
        <v>342</v>
      </c>
      <c r="Q85" s="3" t="s">
        <v>91</v>
      </c>
    </row>
    <row r="86" spans="16:17" x14ac:dyDescent="0.3">
      <c r="P86" s="2" t="s">
        <v>343</v>
      </c>
      <c r="Q86" s="3" t="s">
        <v>234</v>
      </c>
    </row>
    <row r="87" spans="16:17" x14ac:dyDescent="0.3">
      <c r="P87" s="2" t="s">
        <v>579</v>
      </c>
      <c r="Q87" s="3" t="s">
        <v>105</v>
      </c>
    </row>
    <row r="88" spans="16:17" x14ac:dyDescent="0.3">
      <c r="P88" s="2" t="s">
        <v>344</v>
      </c>
      <c r="Q88" s="3" t="s">
        <v>191</v>
      </c>
    </row>
    <row r="89" spans="16:17" x14ac:dyDescent="0.3">
      <c r="P89" s="2" t="s">
        <v>345</v>
      </c>
      <c r="Q89" s="3" t="s">
        <v>148</v>
      </c>
    </row>
    <row r="90" spans="16:17" x14ac:dyDescent="0.3">
      <c r="P90" s="2" t="s">
        <v>346</v>
      </c>
      <c r="Q90" s="3" t="s">
        <v>88</v>
      </c>
    </row>
    <row r="91" spans="16:17" x14ac:dyDescent="0.3">
      <c r="P91" s="2" t="s">
        <v>347</v>
      </c>
      <c r="Q91" s="3" t="s">
        <v>90</v>
      </c>
    </row>
    <row r="92" spans="16:17" x14ac:dyDescent="0.3">
      <c r="P92" s="2" t="s">
        <v>348</v>
      </c>
      <c r="Q92" s="3" t="s">
        <v>92</v>
      </c>
    </row>
    <row r="93" spans="16:17" x14ac:dyDescent="0.3">
      <c r="P93" s="2" t="s">
        <v>349</v>
      </c>
      <c r="Q93" s="3" t="s">
        <v>235</v>
      </c>
    </row>
    <row r="94" spans="16:17" x14ac:dyDescent="0.3">
      <c r="P94" s="2" t="s">
        <v>580</v>
      </c>
      <c r="Q94" s="3" t="s">
        <v>106</v>
      </c>
    </row>
    <row r="95" spans="16:17" x14ac:dyDescent="0.3">
      <c r="P95" s="2" t="s">
        <v>350</v>
      </c>
      <c r="Q95" s="3" t="s">
        <v>192</v>
      </c>
    </row>
    <row r="96" spans="16:17" x14ac:dyDescent="0.3">
      <c r="P96" s="2" t="s">
        <v>351</v>
      </c>
      <c r="Q96" s="3" t="s">
        <v>149</v>
      </c>
    </row>
    <row r="97" spans="16:17" x14ac:dyDescent="0.3">
      <c r="P97" s="2" t="s">
        <v>352</v>
      </c>
      <c r="Q97" s="3" t="s">
        <v>87</v>
      </c>
    </row>
    <row r="98" spans="16:17" x14ac:dyDescent="0.3">
      <c r="P98" s="2" t="s">
        <v>353</v>
      </c>
      <c r="Q98" s="3" t="s">
        <v>89</v>
      </c>
    </row>
    <row r="99" spans="16:17" x14ac:dyDescent="0.3">
      <c r="P99" s="2" t="s">
        <v>354</v>
      </c>
      <c r="Q99" s="3" t="s">
        <v>91</v>
      </c>
    </row>
    <row r="100" spans="16:17" x14ac:dyDescent="0.3">
      <c r="P100" s="2" t="s">
        <v>355</v>
      </c>
      <c r="Q100" s="3" t="s">
        <v>236</v>
      </c>
    </row>
    <row r="101" spans="16:17" x14ac:dyDescent="0.3">
      <c r="P101" s="2" t="s">
        <v>581</v>
      </c>
      <c r="Q101" s="3" t="s">
        <v>107</v>
      </c>
    </row>
    <row r="102" spans="16:17" x14ac:dyDescent="0.3">
      <c r="P102" s="2" t="s">
        <v>356</v>
      </c>
      <c r="Q102" s="3" t="s">
        <v>193</v>
      </c>
    </row>
    <row r="103" spans="16:17" x14ac:dyDescent="0.3">
      <c r="P103" s="2" t="s">
        <v>357</v>
      </c>
      <c r="Q103" s="3" t="s">
        <v>150</v>
      </c>
    </row>
    <row r="104" spans="16:17" x14ac:dyDescent="0.3">
      <c r="P104" s="2" t="s">
        <v>358</v>
      </c>
      <c r="Q104" s="3" t="s">
        <v>88</v>
      </c>
    </row>
    <row r="105" spans="16:17" x14ac:dyDescent="0.3">
      <c r="P105" s="2" t="s">
        <v>359</v>
      </c>
      <c r="Q105" s="3" t="s">
        <v>90</v>
      </c>
    </row>
    <row r="106" spans="16:17" x14ac:dyDescent="0.3">
      <c r="P106" s="2" t="s">
        <v>360</v>
      </c>
      <c r="Q106" s="3" t="s">
        <v>92</v>
      </c>
    </row>
    <row r="107" spans="16:17" x14ac:dyDescent="0.3">
      <c r="P107" s="2" t="s">
        <v>361</v>
      </c>
      <c r="Q107" s="3" t="s">
        <v>237</v>
      </c>
    </row>
    <row r="108" spans="16:17" x14ac:dyDescent="0.3">
      <c r="P108" s="2" t="s">
        <v>582</v>
      </c>
      <c r="Q108" s="3" t="s">
        <v>108</v>
      </c>
    </row>
    <row r="109" spans="16:17" x14ac:dyDescent="0.3">
      <c r="P109" s="2" t="s">
        <v>362</v>
      </c>
      <c r="Q109" s="3" t="s">
        <v>194</v>
      </c>
    </row>
    <row r="110" spans="16:17" x14ac:dyDescent="0.3">
      <c r="P110" s="2" t="s">
        <v>363</v>
      </c>
      <c r="Q110" s="3" t="s">
        <v>151</v>
      </c>
    </row>
    <row r="111" spans="16:17" x14ac:dyDescent="0.3">
      <c r="P111" s="2" t="s">
        <v>364</v>
      </c>
      <c r="Q111" s="3" t="s">
        <v>87</v>
      </c>
    </row>
    <row r="112" spans="16:17" x14ac:dyDescent="0.3">
      <c r="P112" s="2" t="s">
        <v>365</v>
      </c>
      <c r="Q112" s="3" t="s">
        <v>89</v>
      </c>
    </row>
    <row r="113" spans="16:17" x14ac:dyDescent="0.3">
      <c r="P113" s="2" t="s">
        <v>366</v>
      </c>
      <c r="Q113" s="3" t="s">
        <v>91</v>
      </c>
    </row>
    <row r="114" spans="16:17" x14ac:dyDescent="0.3">
      <c r="P114" s="2" t="s">
        <v>367</v>
      </c>
      <c r="Q114" s="3" t="s">
        <v>238</v>
      </c>
    </row>
    <row r="115" spans="16:17" x14ac:dyDescent="0.3">
      <c r="P115" s="2" t="s">
        <v>583</v>
      </c>
      <c r="Q115" s="3" t="s">
        <v>109</v>
      </c>
    </row>
    <row r="116" spans="16:17" x14ac:dyDescent="0.3">
      <c r="P116" s="2" t="s">
        <v>368</v>
      </c>
      <c r="Q116" s="3" t="s">
        <v>195</v>
      </c>
    </row>
    <row r="117" spans="16:17" x14ac:dyDescent="0.3">
      <c r="P117" s="2" t="s">
        <v>369</v>
      </c>
      <c r="Q117" s="3" t="s">
        <v>152</v>
      </c>
    </row>
    <row r="118" spans="16:17" x14ac:dyDescent="0.3">
      <c r="P118" s="2" t="s">
        <v>370</v>
      </c>
      <c r="Q118" s="3" t="s">
        <v>88</v>
      </c>
    </row>
    <row r="119" spans="16:17" x14ac:dyDescent="0.3">
      <c r="P119" s="2" t="s">
        <v>371</v>
      </c>
      <c r="Q119" s="3" t="s">
        <v>90</v>
      </c>
    </row>
    <row r="120" spans="16:17" x14ac:dyDescent="0.3">
      <c r="P120" s="2" t="s">
        <v>372</v>
      </c>
      <c r="Q120" s="3" t="s">
        <v>92</v>
      </c>
    </row>
    <row r="121" spans="16:17" x14ac:dyDescent="0.3">
      <c r="P121" s="2" t="s">
        <v>373</v>
      </c>
      <c r="Q121" s="3" t="s">
        <v>239</v>
      </c>
    </row>
    <row r="122" spans="16:17" x14ac:dyDescent="0.3">
      <c r="P122" s="2" t="s">
        <v>584</v>
      </c>
      <c r="Q122" s="3" t="s">
        <v>110</v>
      </c>
    </row>
    <row r="123" spans="16:17" x14ac:dyDescent="0.3">
      <c r="P123" s="2" t="s">
        <v>374</v>
      </c>
      <c r="Q123" s="3" t="s">
        <v>196</v>
      </c>
    </row>
    <row r="124" spans="16:17" x14ac:dyDescent="0.3">
      <c r="P124" s="2" t="s">
        <v>375</v>
      </c>
      <c r="Q124" s="3" t="s">
        <v>153</v>
      </c>
    </row>
    <row r="125" spans="16:17" x14ac:dyDescent="0.3">
      <c r="P125" s="2" t="s">
        <v>376</v>
      </c>
      <c r="Q125" s="3" t="s">
        <v>87</v>
      </c>
    </row>
    <row r="126" spans="16:17" x14ac:dyDescent="0.3">
      <c r="P126" s="2" t="s">
        <v>377</v>
      </c>
      <c r="Q126" s="3" t="s">
        <v>89</v>
      </c>
    </row>
    <row r="127" spans="16:17" x14ac:dyDescent="0.3">
      <c r="P127" s="2" t="s">
        <v>378</v>
      </c>
      <c r="Q127" s="3" t="s">
        <v>91</v>
      </c>
    </row>
    <row r="128" spans="16:17" x14ac:dyDescent="0.3">
      <c r="P128" s="2" t="s">
        <v>379</v>
      </c>
      <c r="Q128" s="3" t="s">
        <v>240</v>
      </c>
    </row>
    <row r="129" spans="16:17" x14ac:dyDescent="0.3">
      <c r="P129" s="2" t="s">
        <v>585</v>
      </c>
      <c r="Q129" s="3" t="s">
        <v>111</v>
      </c>
    </row>
    <row r="130" spans="16:17" x14ac:dyDescent="0.3">
      <c r="P130" s="2" t="s">
        <v>380</v>
      </c>
      <c r="Q130" s="3" t="s">
        <v>197</v>
      </c>
    </row>
    <row r="131" spans="16:17" x14ac:dyDescent="0.3">
      <c r="P131" s="2" t="s">
        <v>381</v>
      </c>
      <c r="Q131" s="3" t="s">
        <v>154</v>
      </c>
    </row>
    <row r="132" spans="16:17" x14ac:dyDescent="0.3">
      <c r="P132" s="2" t="s">
        <v>382</v>
      </c>
      <c r="Q132" s="3" t="s">
        <v>88</v>
      </c>
    </row>
    <row r="133" spans="16:17" x14ac:dyDescent="0.3">
      <c r="P133" s="2" t="s">
        <v>383</v>
      </c>
      <c r="Q133" s="3" t="s">
        <v>90</v>
      </c>
    </row>
    <row r="134" spans="16:17" x14ac:dyDescent="0.3">
      <c r="P134" s="2" t="s">
        <v>384</v>
      </c>
      <c r="Q134" s="3" t="s">
        <v>92</v>
      </c>
    </row>
    <row r="135" spans="16:17" x14ac:dyDescent="0.3">
      <c r="P135" s="2" t="s">
        <v>385</v>
      </c>
      <c r="Q135" s="3" t="s">
        <v>241</v>
      </c>
    </row>
    <row r="136" spans="16:17" x14ac:dyDescent="0.3">
      <c r="P136" s="2" t="s">
        <v>586</v>
      </c>
      <c r="Q136" s="3" t="s">
        <v>112</v>
      </c>
    </row>
    <row r="137" spans="16:17" x14ac:dyDescent="0.3">
      <c r="P137" s="2" t="s">
        <v>386</v>
      </c>
      <c r="Q137" s="3" t="s">
        <v>198</v>
      </c>
    </row>
    <row r="138" spans="16:17" x14ac:dyDescent="0.3">
      <c r="P138" s="2" t="s">
        <v>387</v>
      </c>
      <c r="Q138" s="3" t="s">
        <v>155</v>
      </c>
    </row>
    <row r="139" spans="16:17" x14ac:dyDescent="0.3">
      <c r="P139" s="2" t="s">
        <v>388</v>
      </c>
      <c r="Q139" s="3" t="s">
        <v>87</v>
      </c>
    </row>
    <row r="140" spans="16:17" x14ac:dyDescent="0.3">
      <c r="P140" s="2" t="s">
        <v>389</v>
      </c>
      <c r="Q140" s="3" t="s">
        <v>89</v>
      </c>
    </row>
    <row r="141" spans="16:17" x14ac:dyDescent="0.3">
      <c r="P141" s="2" t="s">
        <v>390</v>
      </c>
      <c r="Q141" s="3" t="s">
        <v>91</v>
      </c>
    </row>
    <row r="142" spans="16:17" x14ac:dyDescent="0.3">
      <c r="P142" s="2" t="s">
        <v>391</v>
      </c>
      <c r="Q142" s="3" t="s">
        <v>242</v>
      </c>
    </row>
    <row r="143" spans="16:17" x14ac:dyDescent="0.3">
      <c r="P143" s="2" t="s">
        <v>587</v>
      </c>
      <c r="Q143" s="3" t="s">
        <v>113</v>
      </c>
    </row>
    <row r="144" spans="16:17" x14ac:dyDescent="0.3">
      <c r="P144" s="2" t="s">
        <v>392</v>
      </c>
      <c r="Q144" s="3" t="s">
        <v>199</v>
      </c>
    </row>
    <row r="145" spans="16:17" x14ac:dyDescent="0.3">
      <c r="P145" s="2" t="s">
        <v>393</v>
      </c>
      <c r="Q145" s="3" t="s">
        <v>156</v>
      </c>
    </row>
    <row r="146" spans="16:17" x14ac:dyDescent="0.3">
      <c r="P146" s="2" t="s">
        <v>394</v>
      </c>
      <c r="Q146" s="3" t="s">
        <v>88</v>
      </c>
    </row>
    <row r="147" spans="16:17" x14ac:dyDescent="0.3">
      <c r="P147" s="2" t="s">
        <v>395</v>
      </c>
      <c r="Q147" s="3" t="s">
        <v>90</v>
      </c>
    </row>
    <row r="148" spans="16:17" x14ac:dyDescent="0.3">
      <c r="P148" s="2" t="s">
        <v>396</v>
      </c>
      <c r="Q148" s="3" t="s">
        <v>92</v>
      </c>
    </row>
    <row r="149" spans="16:17" x14ac:dyDescent="0.3">
      <c r="P149" s="2" t="s">
        <v>397</v>
      </c>
      <c r="Q149" s="3" t="s">
        <v>243</v>
      </c>
    </row>
    <row r="150" spans="16:17" x14ac:dyDescent="0.3">
      <c r="P150" s="2" t="s">
        <v>588</v>
      </c>
      <c r="Q150" s="3" t="s">
        <v>114</v>
      </c>
    </row>
    <row r="151" spans="16:17" x14ac:dyDescent="0.3">
      <c r="P151" s="2" t="s">
        <v>398</v>
      </c>
      <c r="Q151" s="3" t="s">
        <v>200</v>
      </c>
    </row>
    <row r="152" spans="16:17" x14ac:dyDescent="0.3">
      <c r="P152" s="2" t="s">
        <v>399</v>
      </c>
      <c r="Q152" s="3" t="s">
        <v>157</v>
      </c>
    </row>
    <row r="153" spans="16:17" x14ac:dyDescent="0.3">
      <c r="P153" s="2" t="s">
        <v>400</v>
      </c>
      <c r="Q153" s="3" t="s">
        <v>87</v>
      </c>
    </row>
    <row r="154" spans="16:17" x14ac:dyDescent="0.3">
      <c r="P154" s="2" t="s">
        <v>401</v>
      </c>
      <c r="Q154" s="3" t="s">
        <v>89</v>
      </c>
    </row>
    <row r="155" spans="16:17" x14ac:dyDescent="0.3">
      <c r="P155" s="2" t="s">
        <v>402</v>
      </c>
      <c r="Q155" s="3" t="s">
        <v>91</v>
      </c>
    </row>
    <row r="156" spans="16:17" x14ac:dyDescent="0.3">
      <c r="P156" s="2" t="s">
        <v>403</v>
      </c>
      <c r="Q156" s="3" t="s">
        <v>244</v>
      </c>
    </row>
    <row r="157" spans="16:17" x14ac:dyDescent="0.3">
      <c r="P157" s="2" t="s">
        <v>589</v>
      </c>
      <c r="Q157" s="3" t="s">
        <v>115</v>
      </c>
    </row>
    <row r="158" spans="16:17" x14ac:dyDescent="0.3">
      <c r="P158" s="2" t="s">
        <v>404</v>
      </c>
      <c r="Q158" s="3" t="s">
        <v>201</v>
      </c>
    </row>
    <row r="159" spans="16:17" x14ac:dyDescent="0.3">
      <c r="P159" s="2" t="s">
        <v>405</v>
      </c>
      <c r="Q159" s="3" t="s">
        <v>158</v>
      </c>
    </row>
    <row r="160" spans="16:17" x14ac:dyDescent="0.3">
      <c r="P160" s="2" t="s">
        <v>406</v>
      </c>
      <c r="Q160" s="3" t="s">
        <v>88</v>
      </c>
    </row>
    <row r="161" spans="16:17" x14ac:dyDescent="0.3">
      <c r="P161" s="2" t="s">
        <v>407</v>
      </c>
      <c r="Q161" s="3" t="s">
        <v>90</v>
      </c>
    </row>
    <row r="162" spans="16:17" x14ac:dyDescent="0.3">
      <c r="P162" s="2" t="s">
        <v>408</v>
      </c>
      <c r="Q162" s="3" t="s">
        <v>92</v>
      </c>
    </row>
    <row r="163" spans="16:17" x14ac:dyDescent="0.3">
      <c r="P163" s="2" t="s">
        <v>409</v>
      </c>
      <c r="Q163" s="3" t="s">
        <v>245</v>
      </c>
    </row>
    <row r="164" spans="16:17" x14ac:dyDescent="0.3">
      <c r="P164" s="2" t="s">
        <v>590</v>
      </c>
      <c r="Q164" s="3" t="s">
        <v>116</v>
      </c>
    </row>
    <row r="165" spans="16:17" x14ac:dyDescent="0.3">
      <c r="P165" s="2" t="s">
        <v>410</v>
      </c>
      <c r="Q165" s="3" t="s">
        <v>202</v>
      </c>
    </row>
    <row r="166" spans="16:17" x14ac:dyDescent="0.3">
      <c r="P166" s="2" t="s">
        <v>411</v>
      </c>
      <c r="Q166" s="3" t="s">
        <v>159</v>
      </c>
    </row>
    <row r="167" spans="16:17" x14ac:dyDescent="0.3">
      <c r="P167" s="2" t="s">
        <v>412</v>
      </c>
      <c r="Q167" s="3" t="s">
        <v>87</v>
      </c>
    </row>
    <row r="168" spans="16:17" x14ac:dyDescent="0.3">
      <c r="P168" s="2" t="s">
        <v>413</v>
      </c>
      <c r="Q168" s="3" t="s">
        <v>89</v>
      </c>
    </row>
    <row r="169" spans="16:17" x14ac:dyDescent="0.3">
      <c r="P169" s="2" t="s">
        <v>414</v>
      </c>
      <c r="Q169" s="3" t="s">
        <v>91</v>
      </c>
    </row>
    <row r="170" spans="16:17" x14ac:dyDescent="0.3">
      <c r="P170" s="2" t="s">
        <v>415</v>
      </c>
      <c r="Q170" s="3" t="s">
        <v>246</v>
      </c>
    </row>
    <row r="171" spans="16:17" x14ac:dyDescent="0.3">
      <c r="P171" s="2" t="s">
        <v>591</v>
      </c>
      <c r="Q171" s="3" t="s">
        <v>117</v>
      </c>
    </row>
    <row r="172" spans="16:17" x14ac:dyDescent="0.3">
      <c r="P172" s="2" t="s">
        <v>416</v>
      </c>
      <c r="Q172" s="3" t="s">
        <v>203</v>
      </c>
    </row>
    <row r="173" spans="16:17" x14ac:dyDescent="0.3">
      <c r="P173" s="2" t="s">
        <v>417</v>
      </c>
      <c r="Q173" s="3" t="s">
        <v>160</v>
      </c>
    </row>
    <row r="174" spans="16:17" x14ac:dyDescent="0.3">
      <c r="P174" s="2" t="s">
        <v>418</v>
      </c>
      <c r="Q174" s="3" t="s">
        <v>88</v>
      </c>
    </row>
    <row r="175" spans="16:17" x14ac:dyDescent="0.3">
      <c r="P175" s="2" t="s">
        <v>419</v>
      </c>
      <c r="Q175" s="3" t="s">
        <v>90</v>
      </c>
    </row>
    <row r="176" spans="16:17" x14ac:dyDescent="0.3">
      <c r="P176" s="2" t="s">
        <v>420</v>
      </c>
      <c r="Q176" s="3" t="s">
        <v>92</v>
      </c>
    </row>
    <row r="177" spans="16:17" x14ac:dyDescent="0.3">
      <c r="P177" s="2" t="s">
        <v>421</v>
      </c>
      <c r="Q177" s="3" t="s">
        <v>247</v>
      </c>
    </row>
    <row r="178" spans="16:17" x14ac:dyDescent="0.3">
      <c r="P178" s="2" t="s">
        <v>592</v>
      </c>
      <c r="Q178" s="3" t="s">
        <v>118</v>
      </c>
    </row>
    <row r="179" spans="16:17" x14ac:dyDescent="0.3">
      <c r="P179" s="2" t="s">
        <v>422</v>
      </c>
      <c r="Q179" s="3" t="s">
        <v>204</v>
      </c>
    </row>
    <row r="180" spans="16:17" x14ac:dyDescent="0.3">
      <c r="P180" s="2" t="s">
        <v>423</v>
      </c>
      <c r="Q180" s="3" t="s">
        <v>161</v>
      </c>
    </row>
    <row r="181" spans="16:17" x14ac:dyDescent="0.3">
      <c r="P181" s="2" t="s">
        <v>424</v>
      </c>
      <c r="Q181" s="3" t="s">
        <v>87</v>
      </c>
    </row>
    <row r="182" spans="16:17" x14ac:dyDescent="0.3">
      <c r="P182" s="2" t="s">
        <v>425</v>
      </c>
      <c r="Q182" s="3" t="s">
        <v>89</v>
      </c>
    </row>
    <row r="183" spans="16:17" x14ac:dyDescent="0.3">
      <c r="P183" s="2" t="s">
        <v>426</v>
      </c>
      <c r="Q183" s="3" t="s">
        <v>91</v>
      </c>
    </row>
    <row r="184" spans="16:17" x14ac:dyDescent="0.3">
      <c r="P184" s="2" t="s">
        <v>427</v>
      </c>
      <c r="Q184" s="3" t="s">
        <v>248</v>
      </c>
    </row>
    <row r="185" spans="16:17" x14ac:dyDescent="0.3">
      <c r="P185" s="2" t="s">
        <v>593</v>
      </c>
      <c r="Q185" s="3" t="s">
        <v>119</v>
      </c>
    </row>
    <row r="186" spans="16:17" x14ac:dyDescent="0.3">
      <c r="P186" s="2" t="s">
        <v>428</v>
      </c>
      <c r="Q186" s="3" t="s">
        <v>205</v>
      </c>
    </row>
    <row r="187" spans="16:17" x14ac:dyDescent="0.3">
      <c r="P187" s="2" t="s">
        <v>429</v>
      </c>
      <c r="Q187" s="3" t="s">
        <v>162</v>
      </c>
    </row>
    <row r="188" spans="16:17" x14ac:dyDescent="0.3">
      <c r="P188" s="2" t="s">
        <v>430</v>
      </c>
      <c r="Q188" s="3" t="s">
        <v>88</v>
      </c>
    </row>
    <row r="189" spans="16:17" x14ac:dyDescent="0.3">
      <c r="P189" s="2" t="s">
        <v>431</v>
      </c>
      <c r="Q189" s="3" t="s">
        <v>90</v>
      </c>
    </row>
    <row r="190" spans="16:17" x14ac:dyDescent="0.3">
      <c r="P190" s="2" t="s">
        <v>432</v>
      </c>
      <c r="Q190" s="3" t="s">
        <v>92</v>
      </c>
    </row>
    <row r="191" spans="16:17" x14ac:dyDescent="0.3">
      <c r="P191" s="2" t="s">
        <v>433</v>
      </c>
      <c r="Q191" s="3" t="s">
        <v>249</v>
      </c>
    </row>
    <row r="192" spans="16:17" x14ac:dyDescent="0.3">
      <c r="P192" s="2" t="s">
        <v>594</v>
      </c>
      <c r="Q192" s="3" t="s">
        <v>120</v>
      </c>
    </row>
    <row r="193" spans="16:17" x14ac:dyDescent="0.3">
      <c r="P193" s="2" t="s">
        <v>434</v>
      </c>
      <c r="Q193" s="3" t="s">
        <v>206</v>
      </c>
    </row>
    <row r="194" spans="16:17" x14ac:dyDescent="0.3">
      <c r="P194" s="2" t="s">
        <v>435</v>
      </c>
      <c r="Q194" s="3" t="s">
        <v>163</v>
      </c>
    </row>
    <row r="195" spans="16:17" x14ac:dyDescent="0.3">
      <c r="P195" s="2" t="s">
        <v>436</v>
      </c>
      <c r="Q195" s="3" t="s">
        <v>87</v>
      </c>
    </row>
    <row r="196" spans="16:17" x14ac:dyDescent="0.3">
      <c r="P196" s="2" t="s">
        <v>437</v>
      </c>
      <c r="Q196" s="3" t="s">
        <v>89</v>
      </c>
    </row>
    <row r="197" spans="16:17" x14ac:dyDescent="0.3">
      <c r="P197" s="2" t="s">
        <v>438</v>
      </c>
      <c r="Q197" s="3" t="s">
        <v>91</v>
      </c>
    </row>
    <row r="198" spans="16:17" x14ac:dyDescent="0.3">
      <c r="P198" s="2" t="s">
        <v>439</v>
      </c>
      <c r="Q198" s="3" t="s">
        <v>250</v>
      </c>
    </row>
    <row r="199" spans="16:17" x14ac:dyDescent="0.3">
      <c r="P199" s="2" t="s">
        <v>595</v>
      </c>
      <c r="Q199" s="3" t="s">
        <v>121</v>
      </c>
    </row>
    <row r="200" spans="16:17" x14ac:dyDescent="0.3">
      <c r="P200" s="2" t="s">
        <v>440</v>
      </c>
      <c r="Q200" s="3" t="s">
        <v>207</v>
      </c>
    </row>
    <row r="201" spans="16:17" x14ac:dyDescent="0.3">
      <c r="P201" s="2" t="s">
        <v>441</v>
      </c>
      <c r="Q201" s="3" t="s">
        <v>164</v>
      </c>
    </row>
    <row r="202" spans="16:17" x14ac:dyDescent="0.3">
      <c r="P202" s="2" t="s">
        <v>442</v>
      </c>
      <c r="Q202" s="3" t="s">
        <v>88</v>
      </c>
    </row>
    <row r="203" spans="16:17" x14ac:dyDescent="0.3">
      <c r="P203" s="2" t="s">
        <v>443</v>
      </c>
      <c r="Q203" s="3" t="s">
        <v>90</v>
      </c>
    </row>
    <row r="204" spans="16:17" x14ac:dyDescent="0.3">
      <c r="P204" s="2" t="s">
        <v>444</v>
      </c>
      <c r="Q204" s="3" t="s">
        <v>92</v>
      </c>
    </row>
    <row r="205" spans="16:17" x14ac:dyDescent="0.3">
      <c r="P205" s="2" t="s">
        <v>445</v>
      </c>
      <c r="Q205" s="3" t="s">
        <v>251</v>
      </c>
    </row>
    <row r="206" spans="16:17" x14ac:dyDescent="0.3">
      <c r="P206" s="2" t="s">
        <v>596</v>
      </c>
      <c r="Q206" s="3" t="s">
        <v>122</v>
      </c>
    </row>
    <row r="207" spans="16:17" x14ac:dyDescent="0.3">
      <c r="P207" s="2" t="s">
        <v>446</v>
      </c>
      <c r="Q207" s="3" t="s">
        <v>208</v>
      </c>
    </row>
    <row r="208" spans="16:17" x14ac:dyDescent="0.3">
      <c r="P208" s="2" t="s">
        <v>447</v>
      </c>
      <c r="Q208" s="3" t="s">
        <v>165</v>
      </c>
    </row>
    <row r="209" spans="16:17" x14ac:dyDescent="0.3">
      <c r="P209" s="2" t="s">
        <v>448</v>
      </c>
      <c r="Q209" s="3" t="s">
        <v>87</v>
      </c>
    </row>
    <row r="210" spans="16:17" x14ac:dyDescent="0.3">
      <c r="P210" s="2" t="s">
        <v>449</v>
      </c>
      <c r="Q210" s="3" t="s">
        <v>89</v>
      </c>
    </row>
    <row r="211" spans="16:17" x14ac:dyDescent="0.3">
      <c r="P211" s="2" t="s">
        <v>450</v>
      </c>
      <c r="Q211" s="3" t="s">
        <v>91</v>
      </c>
    </row>
    <row r="212" spans="16:17" x14ac:dyDescent="0.3">
      <c r="P212" s="2" t="s">
        <v>451</v>
      </c>
      <c r="Q212" s="3" t="s">
        <v>252</v>
      </c>
    </row>
    <row r="213" spans="16:17" x14ac:dyDescent="0.3">
      <c r="P213" s="2" t="s">
        <v>597</v>
      </c>
      <c r="Q213" s="3" t="s">
        <v>123</v>
      </c>
    </row>
    <row r="214" spans="16:17" x14ac:dyDescent="0.3">
      <c r="P214" s="2" t="s">
        <v>452</v>
      </c>
      <c r="Q214" s="3" t="s">
        <v>209</v>
      </c>
    </row>
    <row r="215" spans="16:17" x14ac:dyDescent="0.3">
      <c r="P215" s="2" t="s">
        <v>453</v>
      </c>
      <c r="Q215" s="3" t="s">
        <v>166</v>
      </c>
    </row>
    <row r="216" spans="16:17" x14ac:dyDescent="0.3">
      <c r="P216" s="2" t="s">
        <v>454</v>
      </c>
      <c r="Q216" s="3" t="s">
        <v>88</v>
      </c>
    </row>
    <row r="217" spans="16:17" x14ac:dyDescent="0.3">
      <c r="P217" s="2" t="s">
        <v>455</v>
      </c>
      <c r="Q217" s="3" t="s">
        <v>90</v>
      </c>
    </row>
    <row r="218" spans="16:17" x14ac:dyDescent="0.3">
      <c r="P218" s="2" t="s">
        <v>456</v>
      </c>
      <c r="Q218" s="3" t="s">
        <v>92</v>
      </c>
    </row>
    <row r="219" spans="16:17" x14ac:dyDescent="0.3">
      <c r="P219" s="2" t="s">
        <v>457</v>
      </c>
      <c r="Q219" s="3" t="s">
        <v>253</v>
      </c>
    </row>
    <row r="220" spans="16:17" x14ac:dyDescent="0.3">
      <c r="P220" s="2" t="s">
        <v>598</v>
      </c>
      <c r="Q220" s="3" t="s">
        <v>124</v>
      </c>
    </row>
    <row r="221" spans="16:17" x14ac:dyDescent="0.3">
      <c r="P221" s="2" t="s">
        <v>458</v>
      </c>
      <c r="Q221" s="3" t="s">
        <v>210</v>
      </c>
    </row>
    <row r="222" spans="16:17" x14ac:dyDescent="0.3">
      <c r="P222" s="2" t="s">
        <v>459</v>
      </c>
      <c r="Q222" s="3" t="s">
        <v>167</v>
      </c>
    </row>
    <row r="223" spans="16:17" x14ac:dyDescent="0.3">
      <c r="P223" s="2" t="s">
        <v>460</v>
      </c>
      <c r="Q223" s="3" t="s">
        <v>87</v>
      </c>
    </row>
    <row r="224" spans="16:17" x14ac:dyDescent="0.3">
      <c r="P224" s="2" t="s">
        <v>461</v>
      </c>
      <c r="Q224" s="3" t="s">
        <v>89</v>
      </c>
    </row>
    <row r="225" spans="16:17" x14ac:dyDescent="0.3">
      <c r="P225" s="2" t="s">
        <v>462</v>
      </c>
      <c r="Q225" s="3" t="s">
        <v>91</v>
      </c>
    </row>
    <row r="226" spans="16:17" x14ac:dyDescent="0.3">
      <c r="P226" s="2" t="s">
        <v>463</v>
      </c>
      <c r="Q226" s="3" t="s">
        <v>254</v>
      </c>
    </row>
    <row r="227" spans="16:17" x14ac:dyDescent="0.3">
      <c r="P227" s="2" t="s">
        <v>599</v>
      </c>
      <c r="Q227" s="3" t="s">
        <v>125</v>
      </c>
    </row>
    <row r="228" spans="16:17" x14ac:dyDescent="0.3">
      <c r="P228" s="2" t="s">
        <v>464</v>
      </c>
      <c r="Q228" s="3" t="s">
        <v>211</v>
      </c>
    </row>
    <row r="229" spans="16:17" x14ac:dyDescent="0.3">
      <c r="P229" s="2" t="s">
        <v>465</v>
      </c>
      <c r="Q229" s="3" t="s">
        <v>168</v>
      </c>
    </row>
    <row r="230" spans="16:17" x14ac:dyDescent="0.3">
      <c r="P230" s="2" t="s">
        <v>466</v>
      </c>
      <c r="Q230" s="3" t="s">
        <v>88</v>
      </c>
    </row>
    <row r="231" spans="16:17" x14ac:dyDescent="0.3">
      <c r="P231" s="2" t="s">
        <v>467</v>
      </c>
      <c r="Q231" s="3" t="s">
        <v>90</v>
      </c>
    </row>
    <row r="232" spans="16:17" x14ac:dyDescent="0.3">
      <c r="P232" s="2" t="s">
        <v>468</v>
      </c>
      <c r="Q232" s="3" t="s">
        <v>92</v>
      </c>
    </row>
    <row r="233" spans="16:17" x14ac:dyDescent="0.3">
      <c r="P233" s="2" t="s">
        <v>469</v>
      </c>
      <c r="Q233" s="3" t="s">
        <v>255</v>
      </c>
    </row>
    <row r="234" spans="16:17" x14ac:dyDescent="0.3">
      <c r="P234" s="2" t="s">
        <v>600</v>
      </c>
      <c r="Q234" s="3" t="s">
        <v>126</v>
      </c>
    </row>
    <row r="235" spans="16:17" x14ac:dyDescent="0.3">
      <c r="P235" s="2" t="s">
        <v>470</v>
      </c>
      <c r="Q235" s="3" t="s">
        <v>212</v>
      </c>
    </row>
    <row r="236" spans="16:17" x14ac:dyDescent="0.3">
      <c r="P236" s="2" t="s">
        <v>471</v>
      </c>
      <c r="Q236" s="3" t="s">
        <v>169</v>
      </c>
    </row>
    <row r="237" spans="16:17" x14ac:dyDescent="0.3">
      <c r="P237" s="2" t="s">
        <v>472</v>
      </c>
      <c r="Q237" s="3" t="s">
        <v>87</v>
      </c>
    </row>
    <row r="238" spans="16:17" x14ac:dyDescent="0.3">
      <c r="P238" s="2" t="s">
        <v>473</v>
      </c>
      <c r="Q238" s="3" t="s">
        <v>89</v>
      </c>
    </row>
    <row r="239" spans="16:17" x14ac:dyDescent="0.3">
      <c r="P239" s="2" t="s">
        <v>474</v>
      </c>
      <c r="Q239" s="3" t="s">
        <v>91</v>
      </c>
    </row>
    <row r="240" spans="16:17" x14ac:dyDescent="0.3">
      <c r="P240" s="2" t="s">
        <v>475</v>
      </c>
      <c r="Q240" s="3" t="s">
        <v>256</v>
      </c>
    </row>
    <row r="241" spans="16:17" x14ac:dyDescent="0.3">
      <c r="P241" s="2" t="s">
        <v>601</v>
      </c>
      <c r="Q241" s="3" t="s">
        <v>127</v>
      </c>
    </row>
    <row r="242" spans="16:17" x14ac:dyDescent="0.3">
      <c r="P242" s="2" t="s">
        <v>476</v>
      </c>
      <c r="Q242" s="3" t="s">
        <v>213</v>
      </c>
    </row>
    <row r="243" spans="16:17" x14ac:dyDescent="0.3">
      <c r="P243" s="2" t="s">
        <v>477</v>
      </c>
      <c r="Q243" s="3" t="s">
        <v>170</v>
      </c>
    </row>
    <row r="244" spans="16:17" x14ac:dyDescent="0.3">
      <c r="P244" s="2" t="s">
        <v>478</v>
      </c>
      <c r="Q244" s="3" t="s">
        <v>88</v>
      </c>
    </row>
    <row r="245" spans="16:17" x14ac:dyDescent="0.3">
      <c r="P245" s="2" t="s">
        <v>479</v>
      </c>
      <c r="Q245" s="3" t="s">
        <v>90</v>
      </c>
    </row>
    <row r="246" spans="16:17" x14ac:dyDescent="0.3">
      <c r="P246" s="2" t="s">
        <v>480</v>
      </c>
      <c r="Q246" s="3" t="s">
        <v>92</v>
      </c>
    </row>
    <row r="247" spans="16:17" x14ac:dyDescent="0.3">
      <c r="P247" s="2" t="s">
        <v>481</v>
      </c>
      <c r="Q247" s="3" t="s">
        <v>257</v>
      </c>
    </row>
    <row r="248" spans="16:17" x14ac:dyDescent="0.3">
      <c r="P248" s="2" t="s">
        <v>602</v>
      </c>
      <c r="Q248" s="3" t="s">
        <v>128</v>
      </c>
    </row>
    <row r="249" spans="16:17" x14ac:dyDescent="0.3">
      <c r="P249" s="2" t="s">
        <v>482</v>
      </c>
      <c r="Q249" s="3" t="s">
        <v>214</v>
      </c>
    </row>
    <row r="250" spans="16:17" x14ac:dyDescent="0.3">
      <c r="P250" s="2" t="s">
        <v>483</v>
      </c>
      <c r="Q250" s="3" t="s">
        <v>171</v>
      </c>
    </row>
    <row r="251" spans="16:17" x14ac:dyDescent="0.3">
      <c r="P251" s="2" t="s">
        <v>484</v>
      </c>
      <c r="Q251" s="3" t="s">
        <v>87</v>
      </c>
    </row>
    <row r="252" spans="16:17" x14ac:dyDescent="0.3">
      <c r="P252" s="2" t="s">
        <v>485</v>
      </c>
      <c r="Q252" s="3" t="s">
        <v>89</v>
      </c>
    </row>
    <row r="253" spans="16:17" x14ac:dyDescent="0.3">
      <c r="P253" s="2" t="s">
        <v>486</v>
      </c>
      <c r="Q253" s="3" t="s">
        <v>91</v>
      </c>
    </row>
    <row r="254" spans="16:17" x14ac:dyDescent="0.3">
      <c r="P254" s="2" t="s">
        <v>487</v>
      </c>
      <c r="Q254" s="3" t="s">
        <v>258</v>
      </c>
    </row>
    <row r="255" spans="16:17" x14ac:dyDescent="0.3">
      <c r="P255" s="2" t="s">
        <v>603</v>
      </c>
      <c r="Q255" s="3" t="s">
        <v>129</v>
      </c>
    </row>
    <row r="256" spans="16:17" x14ac:dyDescent="0.3">
      <c r="P256" s="2" t="s">
        <v>488</v>
      </c>
      <c r="Q256" s="3" t="s">
        <v>215</v>
      </c>
    </row>
    <row r="257" spans="16:17" x14ac:dyDescent="0.3">
      <c r="P257" s="2" t="s">
        <v>489</v>
      </c>
      <c r="Q257" s="3" t="s">
        <v>172</v>
      </c>
    </row>
    <row r="258" spans="16:17" x14ac:dyDescent="0.3">
      <c r="P258" s="2" t="s">
        <v>490</v>
      </c>
      <c r="Q258" s="3" t="s">
        <v>88</v>
      </c>
    </row>
    <row r="259" spans="16:17" x14ac:dyDescent="0.3">
      <c r="P259" s="2" t="s">
        <v>491</v>
      </c>
      <c r="Q259" s="3" t="s">
        <v>90</v>
      </c>
    </row>
    <row r="260" spans="16:17" x14ac:dyDescent="0.3">
      <c r="P260" s="2" t="s">
        <v>492</v>
      </c>
      <c r="Q260" s="3" t="s">
        <v>92</v>
      </c>
    </row>
    <row r="261" spans="16:17" x14ac:dyDescent="0.3">
      <c r="P261" s="2" t="s">
        <v>493</v>
      </c>
      <c r="Q261" s="3" t="s">
        <v>259</v>
      </c>
    </row>
    <row r="262" spans="16:17" x14ac:dyDescent="0.3">
      <c r="P262" s="2" t="s">
        <v>604</v>
      </c>
      <c r="Q262" s="3" t="s">
        <v>130</v>
      </c>
    </row>
    <row r="263" spans="16:17" x14ac:dyDescent="0.3">
      <c r="P263" s="2" t="s">
        <v>494</v>
      </c>
      <c r="Q263" s="3" t="s">
        <v>216</v>
      </c>
    </row>
    <row r="264" spans="16:17" x14ac:dyDescent="0.3">
      <c r="P264" s="2" t="s">
        <v>495</v>
      </c>
      <c r="Q264" s="3" t="s">
        <v>173</v>
      </c>
    </row>
    <row r="265" spans="16:17" x14ac:dyDescent="0.3">
      <c r="P265" s="2" t="s">
        <v>496</v>
      </c>
      <c r="Q265" s="3" t="s">
        <v>87</v>
      </c>
    </row>
    <row r="266" spans="16:17" x14ac:dyDescent="0.3">
      <c r="P266" s="2" t="s">
        <v>497</v>
      </c>
      <c r="Q266" s="3" t="s">
        <v>89</v>
      </c>
    </row>
    <row r="267" spans="16:17" x14ac:dyDescent="0.3">
      <c r="P267" s="2" t="s">
        <v>498</v>
      </c>
      <c r="Q267" s="3" t="s">
        <v>91</v>
      </c>
    </row>
    <row r="268" spans="16:17" x14ac:dyDescent="0.3">
      <c r="P268" s="2" t="s">
        <v>499</v>
      </c>
      <c r="Q268" s="3" t="s">
        <v>260</v>
      </c>
    </row>
    <row r="269" spans="16:17" x14ac:dyDescent="0.3">
      <c r="P269" s="2" t="s">
        <v>605</v>
      </c>
      <c r="Q269" s="3" t="s">
        <v>131</v>
      </c>
    </row>
    <row r="270" spans="16:17" x14ac:dyDescent="0.3">
      <c r="P270" s="2" t="s">
        <v>500</v>
      </c>
      <c r="Q270" s="3" t="s">
        <v>217</v>
      </c>
    </row>
    <row r="271" spans="16:17" x14ac:dyDescent="0.3">
      <c r="P271" s="2" t="s">
        <v>501</v>
      </c>
      <c r="Q271" s="3" t="s">
        <v>174</v>
      </c>
    </row>
    <row r="272" spans="16:17" x14ac:dyDescent="0.3">
      <c r="P272" s="2" t="s">
        <v>502</v>
      </c>
      <c r="Q272" s="3" t="s">
        <v>88</v>
      </c>
    </row>
    <row r="273" spans="16:17" x14ac:dyDescent="0.3">
      <c r="P273" s="2" t="s">
        <v>503</v>
      </c>
      <c r="Q273" s="3" t="s">
        <v>90</v>
      </c>
    </row>
    <row r="274" spans="16:17" x14ac:dyDescent="0.3">
      <c r="P274" s="2" t="s">
        <v>504</v>
      </c>
      <c r="Q274" s="3" t="s">
        <v>92</v>
      </c>
    </row>
    <row r="275" spans="16:17" x14ac:dyDescent="0.3">
      <c r="P275" s="2" t="s">
        <v>505</v>
      </c>
      <c r="Q275" s="3" t="s">
        <v>261</v>
      </c>
    </row>
    <row r="276" spans="16:17" x14ac:dyDescent="0.3">
      <c r="P276" s="2" t="s">
        <v>606</v>
      </c>
      <c r="Q276" s="3" t="s">
        <v>132</v>
      </c>
    </row>
    <row r="277" spans="16:17" x14ac:dyDescent="0.3">
      <c r="P277" s="2" t="s">
        <v>506</v>
      </c>
      <c r="Q277" s="3" t="s">
        <v>218</v>
      </c>
    </row>
    <row r="278" spans="16:17" x14ac:dyDescent="0.3">
      <c r="P278" s="2" t="s">
        <v>507</v>
      </c>
      <c r="Q278" s="3" t="s">
        <v>175</v>
      </c>
    </row>
    <row r="279" spans="16:17" x14ac:dyDescent="0.3">
      <c r="P279" s="2" t="s">
        <v>508</v>
      </c>
      <c r="Q279" s="3" t="s">
        <v>87</v>
      </c>
    </row>
    <row r="280" spans="16:17" x14ac:dyDescent="0.3">
      <c r="P280" s="2" t="s">
        <v>509</v>
      </c>
      <c r="Q280" s="3" t="s">
        <v>89</v>
      </c>
    </row>
    <row r="281" spans="16:17" x14ac:dyDescent="0.3">
      <c r="P281" s="2" t="s">
        <v>510</v>
      </c>
      <c r="Q281" s="3" t="s">
        <v>91</v>
      </c>
    </row>
    <row r="282" spans="16:17" x14ac:dyDescent="0.3">
      <c r="P282" s="2" t="s">
        <v>511</v>
      </c>
      <c r="Q282" s="3" t="s">
        <v>262</v>
      </c>
    </row>
    <row r="283" spans="16:17" x14ac:dyDescent="0.3">
      <c r="P283" s="2" t="s">
        <v>607</v>
      </c>
      <c r="Q283" s="3" t="s">
        <v>133</v>
      </c>
    </row>
    <row r="284" spans="16:17" x14ac:dyDescent="0.3">
      <c r="P284" s="2" t="s">
        <v>512</v>
      </c>
      <c r="Q284" s="3" t="s">
        <v>219</v>
      </c>
    </row>
    <row r="285" spans="16:17" x14ac:dyDescent="0.3">
      <c r="P285" s="2" t="s">
        <v>513</v>
      </c>
      <c r="Q285" s="3" t="s">
        <v>176</v>
      </c>
    </row>
    <row r="286" spans="16:17" x14ac:dyDescent="0.3">
      <c r="P286" s="2" t="s">
        <v>514</v>
      </c>
      <c r="Q286" s="3" t="s">
        <v>88</v>
      </c>
    </row>
    <row r="287" spans="16:17" x14ac:dyDescent="0.3">
      <c r="P287" s="2" t="s">
        <v>515</v>
      </c>
      <c r="Q287" s="3" t="s">
        <v>90</v>
      </c>
    </row>
    <row r="288" spans="16:17" x14ac:dyDescent="0.3">
      <c r="P288" s="2" t="s">
        <v>516</v>
      </c>
      <c r="Q288" s="3" t="s">
        <v>92</v>
      </c>
    </row>
    <row r="289" spans="16:17" x14ac:dyDescent="0.3">
      <c r="P289" s="2" t="s">
        <v>517</v>
      </c>
      <c r="Q289" s="3" t="s">
        <v>263</v>
      </c>
    </row>
    <row r="290" spans="16:17" x14ac:dyDescent="0.3">
      <c r="P290" s="2" t="s">
        <v>608</v>
      </c>
      <c r="Q290" s="3" t="s">
        <v>134</v>
      </c>
    </row>
    <row r="291" spans="16:17" x14ac:dyDescent="0.3">
      <c r="P291" s="2" t="s">
        <v>518</v>
      </c>
      <c r="Q291" s="3" t="s">
        <v>220</v>
      </c>
    </row>
    <row r="292" spans="16:17" x14ac:dyDescent="0.3">
      <c r="P292" s="2" t="s">
        <v>519</v>
      </c>
      <c r="Q292" s="3" t="s">
        <v>177</v>
      </c>
    </row>
    <row r="293" spans="16:17" x14ac:dyDescent="0.3">
      <c r="P293" s="2" t="s">
        <v>520</v>
      </c>
      <c r="Q293" s="3" t="s">
        <v>87</v>
      </c>
    </row>
    <row r="294" spans="16:17" x14ac:dyDescent="0.3">
      <c r="P294" s="2" t="s">
        <v>521</v>
      </c>
      <c r="Q294" s="3" t="s">
        <v>89</v>
      </c>
    </row>
    <row r="295" spans="16:17" x14ac:dyDescent="0.3">
      <c r="P295" s="2" t="s">
        <v>522</v>
      </c>
      <c r="Q295" s="3" t="s">
        <v>91</v>
      </c>
    </row>
    <row r="296" spans="16:17" x14ac:dyDescent="0.3">
      <c r="P296" s="2" t="s">
        <v>523</v>
      </c>
      <c r="Q296" s="3" t="s">
        <v>264</v>
      </c>
    </row>
    <row r="297" spans="16:17" x14ac:dyDescent="0.3">
      <c r="P297" s="2" t="s">
        <v>609</v>
      </c>
      <c r="Q297" s="3" t="s">
        <v>135</v>
      </c>
    </row>
    <row r="298" spans="16:17" x14ac:dyDescent="0.3">
      <c r="P298" s="2" t="s">
        <v>524</v>
      </c>
      <c r="Q298" s="3" t="s">
        <v>221</v>
      </c>
    </row>
    <row r="299" spans="16:17" x14ac:dyDescent="0.3">
      <c r="P299" s="2" t="s">
        <v>525</v>
      </c>
      <c r="Q299" s="3" t="s">
        <v>178</v>
      </c>
    </row>
    <row r="300" spans="16:17" x14ac:dyDescent="0.3">
      <c r="P300" s="2" t="s">
        <v>526</v>
      </c>
      <c r="Q300" s="3" t="s">
        <v>88</v>
      </c>
    </row>
    <row r="301" spans="16:17" x14ac:dyDescent="0.3">
      <c r="P301" s="2" t="s">
        <v>527</v>
      </c>
      <c r="Q301" s="3" t="s">
        <v>90</v>
      </c>
    </row>
    <row r="302" spans="16:17" ht="15" thickBot="1" x14ac:dyDescent="0.35">
      <c r="P302" s="4" t="s">
        <v>528</v>
      </c>
      <c r="Q302" s="6" t="s">
        <v>92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60CBD-4F00-41C0-8949-8531AFAD74BF}">
  <dimension ref="A1:R179"/>
  <sheetViews>
    <sheetView topLeftCell="D1" zoomScale="130" zoomScaleNormal="130" workbookViewId="0">
      <selection activeCell="D6" sqref="D6"/>
    </sheetView>
  </sheetViews>
  <sheetFormatPr defaultRowHeight="14.4" x14ac:dyDescent="0.3"/>
  <cols>
    <col min="1" max="1" width="14.88671875" hidden="1" customWidth="1"/>
    <col min="2" max="2" width="11.44140625" hidden="1" customWidth="1"/>
    <col min="3" max="3" width="14.77734375" hidden="1" customWidth="1"/>
    <col min="4" max="4" width="77.21875" customWidth="1"/>
    <col min="5" max="5" width="22.88671875" bestFit="1" customWidth="1"/>
    <col min="6" max="6" width="13.5546875" customWidth="1"/>
    <col min="7" max="7" width="18.21875" bestFit="1" customWidth="1"/>
    <col min="8" max="8" width="15.5546875" customWidth="1"/>
    <col min="9" max="9" width="14.88671875" customWidth="1"/>
    <col min="10" max="10" width="36.88671875" customWidth="1"/>
    <col min="11" max="11" width="39.44140625" bestFit="1" customWidth="1"/>
    <col min="12" max="12" width="41.77734375" bestFit="1" customWidth="1"/>
    <col min="13" max="13" width="21.88671875" hidden="1" customWidth="1"/>
    <col min="14" max="14" width="25.77734375" bestFit="1" customWidth="1"/>
    <col min="15" max="15" width="21.6640625" bestFit="1" customWidth="1"/>
    <col min="16" max="16" width="11.5546875" hidden="1" customWidth="1"/>
    <col min="17" max="17" width="9.88671875" bestFit="1" customWidth="1"/>
    <col min="18" max="18" width="11.109375" bestFit="1" customWidth="1"/>
  </cols>
  <sheetData>
    <row r="1" spans="1:18" s="98" customFormat="1" x14ac:dyDescent="0.3">
      <c r="A1" s="98" t="s">
        <v>544</v>
      </c>
      <c r="B1" s="98" t="s">
        <v>545</v>
      </c>
      <c r="C1" s="98" t="s">
        <v>546</v>
      </c>
      <c r="D1" s="98" t="s">
        <v>972</v>
      </c>
      <c r="E1" s="98" t="s">
        <v>529</v>
      </c>
      <c r="F1" s="98" t="s">
        <v>547</v>
      </c>
      <c r="G1" s="98" t="s">
        <v>530</v>
      </c>
      <c r="H1" s="98" t="s">
        <v>548</v>
      </c>
      <c r="I1" s="98" t="s">
        <v>549</v>
      </c>
      <c r="J1" s="98" t="s">
        <v>550</v>
      </c>
      <c r="K1" s="98" t="s">
        <v>551</v>
      </c>
      <c r="L1" s="98" t="s">
        <v>552</v>
      </c>
      <c r="M1" s="98" t="s">
        <v>553</v>
      </c>
      <c r="N1" s="98" t="s">
        <v>554</v>
      </c>
      <c r="O1" s="98" t="s">
        <v>555</v>
      </c>
      <c r="P1" s="98" t="s">
        <v>556</v>
      </c>
      <c r="Q1" s="98" t="s">
        <v>557</v>
      </c>
      <c r="R1" s="98" t="s">
        <v>558</v>
      </c>
    </row>
    <row r="2" spans="1:18" x14ac:dyDescent="0.3">
      <c r="A2" t="s">
        <v>559</v>
      </c>
      <c r="B2" t="s">
        <v>560</v>
      </c>
      <c r="C2" t="s">
        <v>561</v>
      </c>
      <c r="D2" t="s">
        <v>87</v>
      </c>
      <c r="E2" t="s">
        <v>610</v>
      </c>
      <c r="F2">
        <v>1</v>
      </c>
      <c r="G2" t="s">
        <v>788</v>
      </c>
      <c r="H2" s="101">
        <v>45848</v>
      </c>
      <c r="I2" s="101">
        <v>402133</v>
      </c>
      <c r="J2" t="s">
        <v>562</v>
      </c>
      <c r="K2">
        <v>12.77</v>
      </c>
      <c r="L2">
        <v>0</v>
      </c>
      <c r="M2" t="s">
        <v>562</v>
      </c>
      <c r="N2" s="102">
        <v>97</v>
      </c>
      <c r="O2" s="102">
        <v>2.4</v>
      </c>
      <c r="P2" t="s">
        <v>562</v>
      </c>
      <c r="Q2" t="b">
        <v>1</v>
      </c>
      <c r="R2">
        <v>0.75</v>
      </c>
    </row>
    <row r="3" spans="1:18" x14ac:dyDescent="0.3">
      <c r="A3" t="s">
        <v>559</v>
      </c>
      <c r="B3" t="s">
        <v>560</v>
      </c>
      <c r="C3" t="s">
        <v>561</v>
      </c>
      <c r="D3" t="s">
        <v>88</v>
      </c>
      <c r="E3" t="s">
        <v>611</v>
      </c>
      <c r="F3">
        <v>1</v>
      </c>
      <c r="G3" t="s">
        <v>789</v>
      </c>
      <c r="H3" s="101">
        <v>45848</v>
      </c>
      <c r="I3" s="101">
        <v>402133</v>
      </c>
      <c r="J3" t="s">
        <v>562</v>
      </c>
      <c r="K3">
        <v>12.54</v>
      </c>
      <c r="L3">
        <v>0</v>
      </c>
      <c r="M3" t="s">
        <v>562</v>
      </c>
      <c r="N3" s="102">
        <v>97</v>
      </c>
      <c r="O3" s="102">
        <v>1.2</v>
      </c>
      <c r="P3" t="s">
        <v>562</v>
      </c>
      <c r="Q3" t="b">
        <v>1</v>
      </c>
      <c r="R3">
        <v>0.7</v>
      </c>
    </row>
    <row r="4" spans="1:18" x14ac:dyDescent="0.3">
      <c r="A4" t="s">
        <v>559</v>
      </c>
      <c r="B4" t="s">
        <v>560</v>
      </c>
      <c r="C4" t="s">
        <v>561</v>
      </c>
      <c r="D4" t="s">
        <v>89</v>
      </c>
      <c r="E4" t="s">
        <v>612</v>
      </c>
      <c r="F4">
        <v>1</v>
      </c>
      <c r="G4" t="s">
        <v>790</v>
      </c>
      <c r="H4" s="101">
        <v>45848</v>
      </c>
      <c r="I4" s="101">
        <v>402133</v>
      </c>
      <c r="J4" t="s">
        <v>562</v>
      </c>
      <c r="K4">
        <v>6.99</v>
      </c>
      <c r="L4">
        <v>0</v>
      </c>
      <c r="M4" t="s">
        <v>562</v>
      </c>
      <c r="N4" s="102">
        <v>123.81</v>
      </c>
      <c r="O4" s="102">
        <v>2.4</v>
      </c>
      <c r="P4" t="s">
        <v>562</v>
      </c>
      <c r="Q4" t="b">
        <v>1</v>
      </c>
      <c r="R4">
        <v>0.75</v>
      </c>
    </row>
    <row r="5" spans="1:18" x14ac:dyDescent="0.3">
      <c r="A5" t="s">
        <v>559</v>
      </c>
      <c r="B5" t="s">
        <v>560</v>
      </c>
      <c r="C5" t="s">
        <v>561</v>
      </c>
      <c r="D5" t="s">
        <v>90</v>
      </c>
      <c r="E5" t="s">
        <v>613</v>
      </c>
      <c r="F5">
        <v>1</v>
      </c>
      <c r="G5" t="s">
        <v>791</v>
      </c>
      <c r="H5" s="101">
        <v>45848</v>
      </c>
      <c r="I5" s="101">
        <v>402133</v>
      </c>
      <c r="J5" t="s">
        <v>562</v>
      </c>
      <c r="K5">
        <v>6.79</v>
      </c>
      <c r="L5">
        <v>0</v>
      </c>
      <c r="M5" t="s">
        <v>562</v>
      </c>
      <c r="N5" s="102">
        <v>123.81</v>
      </c>
      <c r="O5" s="102">
        <v>1.2</v>
      </c>
      <c r="P5" t="s">
        <v>562</v>
      </c>
      <c r="Q5" t="b">
        <v>1</v>
      </c>
      <c r="R5">
        <v>0.7</v>
      </c>
    </row>
    <row r="6" spans="1:18" x14ac:dyDescent="0.3">
      <c r="A6" t="s">
        <v>559</v>
      </c>
      <c r="B6" t="s">
        <v>560</v>
      </c>
      <c r="C6" t="s">
        <v>561</v>
      </c>
      <c r="D6" t="s">
        <v>91</v>
      </c>
      <c r="E6" t="s">
        <v>614</v>
      </c>
      <c r="F6">
        <v>1</v>
      </c>
      <c r="G6" t="s">
        <v>792</v>
      </c>
      <c r="H6" s="101">
        <v>45848</v>
      </c>
      <c r="I6" s="101">
        <v>402133</v>
      </c>
      <c r="J6" t="s">
        <v>562</v>
      </c>
      <c r="K6">
        <v>3.62</v>
      </c>
      <c r="L6">
        <v>0</v>
      </c>
      <c r="M6" t="s">
        <v>562</v>
      </c>
      <c r="N6" s="102">
        <v>165.26</v>
      </c>
      <c r="O6" s="102">
        <v>2.4</v>
      </c>
      <c r="P6" t="s">
        <v>562</v>
      </c>
      <c r="Q6" t="b">
        <v>1</v>
      </c>
      <c r="R6">
        <v>0.75</v>
      </c>
    </row>
    <row r="7" spans="1:18" x14ac:dyDescent="0.3">
      <c r="A7" t="s">
        <v>559</v>
      </c>
      <c r="B7" t="s">
        <v>560</v>
      </c>
      <c r="C7" t="s">
        <v>561</v>
      </c>
      <c r="D7" t="s">
        <v>92</v>
      </c>
      <c r="E7" t="s">
        <v>615</v>
      </c>
      <c r="F7">
        <v>1</v>
      </c>
      <c r="G7" t="s">
        <v>793</v>
      </c>
      <c r="H7" s="101">
        <v>45848</v>
      </c>
      <c r="I7" s="101">
        <v>402133</v>
      </c>
      <c r="J7" t="s">
        <v>562</v>
      </c>
      <c r="K7">
        <v>3.46</v>
      </c>
      <c r="L7">
        <v>0</v>
      </c>
      <c r="M7" t="s">
        <v>562</v>
      </c>
      <c r="N7" s="102">
        <v>165.255</v>
      </c>
      <c r="O7" s="102">
        <v>1.2</v>
      </c>
      <c r="P7" t="s">
        <v>562</v>
      </c>
      <c r="Q7" t="b">
        <v>1</v>
      </c>
      <c r="R7">
        <v>0.7</v>
      </c>
    </row>
    <row r="8" spans="1:18" x14ac:dyDescent="0.3">
      <c r="A8" t="s">
        <v>559</v>
      </c>
      <c r="B8" t="s">
        <v>563</v>
      </c>
      <c r="C8" t="s">
        <v>561</v>
      </c>
      <c r="D8" t="s">
        <v>93</v>
      </c>
      <c r="E8" t="s">
        <v>616</v>
      </c>
      <c r="F8">
        <v>1</v>
      </c>
      <c r="G8" t="s">
        <v>794</v>
      </c>
      <c r="H8" s="101">
        <v>45848</v>
      </c>
      <c r="I8" s="101">
        <v>402133</v>
      </c>
      <c r="J8" t="s">
        <v>562</v>
      </c>
      <c r="K8">
        <v>9.7200000000000006</v>
      </c>
      <c r="L8">
        <v>1.09E-3</v>
      </c>
      <c r="M8" t="s">
        <v>562</v>
      </c>
      <c r="N8" s="102">
        <v>3.01</v>
      </c>
      <c r="O8" s="102">
        <v>2</v>
      </c>
      <c r="P8" t="s">
        <v>562</v>
      </c>
      <c r="Q8" t="b">
        <v>1</v>
      </c>
      <c r="R8">
        <v>0.75</v>
      </c>
    </row>
    <row r="9" spans="1:18" x14ac:dyDescent="0.3">
      <c r="A9" t="s">
        <v>559</v>
      </c>
      <c r="B9" t="s">
        <v>563</v>
      </c>
      <c r="C9" t="s">
        <v>561</v>
      </c>
      <c r="D9" t="s">
        <v>94</v>
      </c>
      <c r="E9" t="s">
        <v>617</v>
      </c>
      <c r="F9">
        <v>1</v>
      </c>
      <c r="G9" t="s">
        <v>795</v>
      </c>
      <c r="H9" s="101">
        <v>45848</v>
      </c>
      <c r="I9" s="101">
        <v>402133</v>
      </c>
      <c r="J9" t="s">
        <v>562</v>
      </c>
      <c r="K9">
        <v>5.98</v>
      </c>
      <c r="L9">
        <v>1.1E-4</v>
      </c>
      <c r="M9" t="s">
        <v>562</v>
      </c>
      <c r="N9" s="102">
        <v>5.27</v>
      </c>
      <c r="O9" s="102">
        <v>1</v>
      </c>
      <c r="P9" t="s">
        <v>562</v>
      </c>
      <c r="Q9" t="b">
        <v>1</v>
      </c>
      <c r="R9">
        <v>0.7</v>
      </c>
    </row>
    <row r="10" spans="1:18" x14ac:dyDescent="0.3">
      <c r="A10" t="s">
        <v>559</v>
      </c>
      <c r="B10" t="s">
        <v>563</v>
      </c>
      <c r="C10" t="s">
        <v>561</v>
      </c>
      <c r="D10" t="s">
        <v>95</v>
      </c>
      <c r="E10" t="s">
        <v>618</v>
      </c>
      <c r="F10">
        <v>1</v>
      </c>
      <c r="G10" t="s">
        <v>796</v>
      </c>
      <c r="H10" s="101">
        <v>45848</v>
      </c>
      <c r="I10" s="101">
        <v>402133</v>
      </c>
      <c r="J10" t="s">
        <v>562</v>
      </c>
      <c r="K10">
        <v>5.25</v>
      </c>
      <c r="L10">
        <v>5.9000000000000003E-4</v>
      </c>
      <c r="M10" t="s">
        <v>562</v>
      </c>
      <c r="N10" s="102">
        <v>3.58</v>
      </c>
      <c r="O10" s="102">
        <v>2</v>
      </c>
      <c r="P10" t="s">
        <v>562</v>
      </c>
      <c r="Q10" t="b">
        <v>1</v>
      </c>
      <c r="R10">
        <v>0.75</v>
      </c>
    </row>
    <row r="11" spans="1:18" x14ac:dyDescent="0.3">
      <c r="A11" t="s">
        <v>559</v>
      </c>
      <c r="B11" t="s">
        <v>563</v>
      </c>
      <c r="C11" t="s">
        <v>561</v>
      </c>
      <c r="D11" t="s">
        <v>96</v>
      </c>
      <c r="E11" t="s">
        <v>619</v>
      </c>
      <c r="F11">
        <v>1</v>
      </c>
      <c r="G11" t="s">
        <v>797</v>
      </c>
      <c r="H11" s="101">
        <v>45848</v>
      </c>
      <c r="I11" s="101">
        <v>402133</v>
      </c>
      <c r="J11" t="s">
        <v>562</v>
      </c>
      <c r="K11">
        <v>5.43</v>
      </c>
      <c r="L11">
        <v>1.1E-4</v>
      </c>
      <c r="M11" t="s">
        <v>562</v>
      </c>
      <c r="N11" s="102">
        <v>3.97</v>
      </c>
      <c r="O11" s="102">
        <v>1</v>
      </c>
      <c r="P11" t="s">
        <v>562</v>
      </c>
      <c r="Q11" t="b">
        <v>1</v>
      </c>
      <c r="R11">
        <v>0.7</v>
      </c>
    </row>
    <row r="12" spans="1:18" x14ac:dyDescent="0.3">
      <c r="A12" t="s">
        <v>559</v>
      </c>
      <c r="B12" t="s">
        <v>563</v>
      </c>
      <c r="C12" t="s">
        <v>561</v>
      </c>
      <c r="D12" t="s">
        <v>97</v>
      </c>
      <c r="E12" t="s">
        <v>620</v>
      </c>
      <c r="F12">
        <v>1</v>
      </c>
      <c r="G12" t="s">
        <v>798</v>
      </c>
      <c r="H12" s="101">
        <v>45848</v>
      </c>
      <c r="I12" s="101">
        <v>402133</v>
      </c>
      <c r="J12" t="s">
        <v>562</v>
      </c>
      <c r="K12">
        <v>15.29</v>
      </c>
      <c r="L12">
        <v>7.6999999999999996E-4</v>
      </c>
      <c r="M12" t="s">
        <v>562</v>
      </c>
      <c r="N12" s="102">
        <v>40.18</v>
      </c>
      <c r="O12" s="102">
        <v>2</v>
      </c>
      <c r="P12" t="s">
        <v>562</v>
      </c>
      <c r="Q12" t="b">
        <v>1</v>
      </c>
      <c r="R12">
        <v>0.75</v>
      </c>
    </row>
    <row r="13" spans="1:18" x14ac:dyDescent="0.3">
      <c r="A13" t="s">
        <v>559</v>
      </c>
      <c r="B13" t="s">
        <v>563</v>
      </c>
      <c r="C13" t="s">
        <v>561</v>
      </c>
      <c r="D13" t="s">
        <v>98</v>
      </c>
      <c r="E13" t="s">
        <v>621</v>
      </c>
      <c r="F13">
        <v>1</v>
      </c>
      <c r="G13" t="s">
        <v>799</v>
      </c>
      <c r="H13" s="101">
        <v>45848</v>
      </c>
      <c r="I13" s="101">
        <v>402133</v>
      </c>
      <c r="J13" t="s">
        <v>562</v>
      </c>
      <c r="K13">
        <v>2.59</v>
      </c>
      <c r="L13">
        <v>5.0000000000000002E-5</v>
      </c>
      <c r="M13" t="s">
        <v>562</v>
      </c>
      <c r="N13" s="102">
        <v>4.04</v>
      </c>
      <c r="O13" s="102">
        <v>1</v>
      </c>
      <c r="P13" t="s">
        <v>562</v>
      </c>
      <c r="Q13" t="b">
        <v>1</v>
      </c>
      <c r="R13">
        <v>0.7</v>
      </c>
    </row>
    <row r="14" spans="1:18" x14ac:dyDescent="0.3">
      <c r="A14" t="s">
        <v>559</v>
      </c>
      <c r="B14" t="s">
        <v>563</v>
      </c>
      <c r="C14" t="s">
        <v>561</v>
      </c>
      <c r="D14" t="s">
        <v>99</v>
      </c>
      <c r="E14" t="s">
        <v>622</v>
      </c>
      <c r="F14">
        <v>1</v>
      </c>
      <c r="G14" t="s">
        <v>800</v>
      </c>
      <c r="H14" s="101">
        <v>45848</v>
      </c>
      <c r="I14" s="101">
        <v>402133</v>
      </c>
      <c r="J14" t="s">
        <v>562</v>
      </c>
      <c r="K14">
        <v>6.08</v>
      </c>
      <c r="L14">
        <v>1.2E-4</v>
      </c>
      <c r="M14" t="s">
        <v>562</v>
      </c>
      <c r="N14" s="102">
        <v>2.2599999999999998</v>
      </c>
      <c r="O14" s="102">
        <v>1</v>
      </c>
      <c r="P14" t="s">
        <v>562</v>
      </c>
      <c r="Q14" t="b">
        <v>1</v>
      </c>
      <c r="R14">
        <v>0.7</v>
      </c>
    </row>
    <row r="15" spans="1:18" x14ac:dyDescent="0.3">
      <c r="A15" t="s">
        <v>559</v>
      </c>
      <c r="B15" t="s">
        <v>563</v>
      </c>
      <c r="C15" t="s">
        <v>561</v>
      </c>
      <c r="D15" t="s">
        <v>100</v>
      </c>
      <c r="E15" t="s">
        <v>623</v>
      </c>
      <c r="F15">
        <v>1</v>
      </c>
      <c r="G15" t="s">
        <v>801</v>
      </c>
      <c r="H15" s="101">
        <v>45848</v>
      </c>
      <c r="I15" s="101">
        <v>402133</v>
      </c>
      <c r="J15" t="s">
        <v>562</v>
      </c>
      <c r="K15">
        <v>8.8800000000000008</v>
      </c>
      <c r="L15">
        <v>1E-3</v>
      </c>
      <c r="M15" t="s">
        <v>562</v>
      </c>
      <c r="N15" s="102">
        <v>6.61</v>
      </c>
      <c r="O15" s="102">
        <v>2</v>
      </c>
      <c r="P15" t="s">
        <v>562</v>
      </c>
      <c r="Q15" t="b">
        <v>1</v>
      </c>
      <c r="R15">
        <v>0.75</v>
      </c>
    </row>
    <row r="16" spans="1:18" x14ac:dyDescent="0.3">
      <c r="A16" t="s">
        <v>559</v>
      </c>
      <c r="B16" t="s">
        <v>563</v>
      </c>
      <c r="C16" t="s">
        <v>561</v>
      </c>
      <c r="D16" t="s">
        <v>101</v>
      </c>
      <c r="E16" t="s">
        <v>624</v>
      </c>
      <c r="F16">
        <v>1</v>
      </c>
      <c r="G16" t="s">
        <v>802</v>
      </c>
      <c r="H16" s="101">
        <v>45848</v>
      </c>
      <c r="I16" s="101">
        <v>402133</v>
      </c>
      <c r="J16" t="s">
        <v>562</v>
      </c>
      <c r="K16">
        <v>7.94</v>
      </c>
      <c r="L16">
        <v>1.1E-4</v>
      </c>
      <c r="M16" t="s">
        <v>562</v>
      </c>
      <c r="N16" s="102">
        <v>5.34</v>
      </c>
      <c r="O16" s="102">
        <v>1</v>
      </c>
      <c r="P16" t="s">
        <v>562</v>
      </c>
      <c r="Q16" t="b">
        <v>1</v>
      </c>
      <c r="R16">
        <v>0.7</v>
      </c>
    </row>
    <row r="17" spans="1:18" x14ac:dyDescent="0.3">
      <c r="A17" t="s">
        <v>559</v>
      </c>
      <c r="B17" t="s">
        <v>563</v>
      </c>
      <c r="C17" t="s">
        <v>561</v>
      </c>
      <c r="D17" t="s">
        <v>102</v>
      </c>
      <c r="E17" t="s">
        <v>625</v>
      </c>
      <c r="F17">
        <v>1</v>
      </c>
      <c r="G17" t="s">
        <v>803</v>
      </c>
      <c r="H17" s="101">
        <v>45848</v>
      </c>
      <c r="I17" s="101">
        <v>402133</v>
      </c>
      <c r="J17" t="s">
        <v>562</v>
      </c>
      <c r="K17">
        <v>21.74</v>
      </c>
      <c r="L17">
        <v>2.4499999999999999E-3</v>
      </c>
      <c r="M17" t="s">
        <v>562</v>
      </c>
      <c r="N17" s="102">
        <v>5.35</v>
      </c>
      <c r="O17" s="102">
        <v>2</v>
      </c>
      <c r="P17" t="s">
        <v>562</v>
      </c>
      <c r="Q17" t="b">
        <v>1</v>
      </c>
      <c r="R17">
        <v>0.75</v>
      </c>
    </row>
    <row r="18" spans="1:18" x14ac:dyDescent="0.3">
      <c r="A18" t="s">
        <v>559</v>
      </c>
      <c r="B18" t="s">
        <v>563</v>
      </c>
      <c r="C18" t="s">
        <v>561</v>
      </c>
      <c r="D18" t="s">
        <v>103</v>
      </c>
      <c r="E18" t="s">
        <v>626</v>
      </c>
      <c r="F18">
        <v>1</v>
      </c>
      <c r="G18" t="s">
        <v>804</v>
      </c>
      <c r="H18" s="101">
        <v>45848</v>
      </c>
      <c r="I18" s="101">
        <v>402133</v>
      </c>
      <c r="J18" t="s">
        <v>562</v>
      </c>
      <c r="K18">
        <v>5.98</v>
      </c>
      <c r="L18">
        <v>1.1E-4</v>
      </c>
      <c r="M18" t="s">
        <v>562</v>
      </c>
      <c r="N18" s="102">
        <v>13.82</v>
      </c>
      <c r="O18" s="102">
        <v>1</v>
      </c>
      <c r="P18" t="s">
        <v>562</v>
      </c>
      <c r="Q18" t="b">
        <v>1</v>
      </c>
      <c r="R18">
        <v>0.7</v>
      </c>
    </row>
    <row r="19" spans="1:18" x14ac:dyDescent="0.3">
      <c r="A19" t="s">
        <v>559</v>
      </c>
      <c r="B19" t="s">
        <v>563</v>
      </c>
      <c r="C19" t="s">
        <v>561</v>
      </c>
      <c r="D19" t="s">
        <v>104</v>
      </c>
      <c r="E19" t="s">
        <v>627</v>
      </c>
      <c r="F19">
        <v>1</v>
      </c>
      <c r="G19" t="s">
        <v>805</v>
      </c>
      <c r="H19" s="101">
        <v>45848</v>
      </c>
      <c r="I19" s="101">
        <v>402133</v>
      </c>
      <c r="J19" t="s">
        <v>562</v>
      </c>
      <c r="K19">
        <v>6.43</v>
      </c>
      <c r="L19">
        <v>6.9999999999999999E-4</v>
      </c>
      <c r="M19" t="s">
        <v>562</v>
      </c>
      <c r="N19" s="102">
        <v>11.07</v>
      </c>
      <c r="O19" s="102">
        <v>2</v>
      </c>
      <c r="P19" t="s">
        <v>562</v>
      </c>
      <c r="Q19" t="b">
        <v>1</v>
      </c>
      <c r="R19">
        <v>0.75</v>
      </c>
    </row>
    <row r="20" spans="1:18" x14ac:dyDescent="0.3">
      <c r="A20" t="s">
        <v>559</v>
      </c>
      <c r="B20" t="s">
        <v>563</v>
      </c>
      <c r="C20" t="s">
        <v>561</v>
      </c>
      <c r="D20" t="s">
        <v>105</v>
      </c>
      <c r="E20" t="s">
        <v>628</v>
      </c>
      <c r="F20">
        <v>1</v>
      </c>
      <c r="G20" t="s">
        <v>806</v>
      </c>
      <c r="H20" s="101">
        <v>45848</v>
      </c>
      <c r="I20" s="101">
        <v>402133</v>
      </c>
      <c r="J20" t="s">
        <v>562</v>
      </c>
      <c r="K20">
        <v>6.43</v>
      </c>
      <c r="L20">
        <v>1.1E-4</v>
      </c>
      <c r="M20" t="s">
        <v>562</v>
      </c>
      <c r="N20" s="102">
        <v>13.59</v>
      </c>
      <c r="O20" s="102">
        <v>1</v>
      </c>
      <c r="P20" t="s">
        <v>562</v>
      </c>
      <c r="Q20" t="b">
        <v>1</v>
      </c>
      <c r="R20">
        <v>0.7</v>
      </c>
    </row>
    <row r="21" spans="1:18" x14ac:dyDescent="0.3">
      <c r="A21" t="s">
        <v>559</v>
      </c>
      <c r="B21" t="s">
        <v>563</v>
      </c>
      <c r="C21" t="s">
        <v>561</v>
      </c>
      <c r="D21" t="s">
        <v>106</v>
      </c>
      <c r="E21" t="s">
        <v>629</v>
      </c>
      <c r="F21">
        <v>1</v>
      </c>
      <c r="G21" t="s">
        <v>807</v>
      </c>
      <c r="H21" s="101">
        <v>45848</v>
      </c>
      <c r="I21" s="101">
        <v>402133</v>
      </c>
      <c r="J21" t="s">
        <v>562</v>
      </c>
      <c r="K21">
        <v>8.5299999999999994</v>
      </c>
      <c r="L21">
        <v>9.6000000000000002E-4</v>
      </c>
      <c r="M21" t="s">
        <v>562</v>
      </c>
      <c r="N21" s="102">
        <v>2.7</v>
      </c>
      <c r="O21" s="102">
        <v>2</v>
      </c>
      <c r="P21" t="s">
        <v>562</v>
      </c>
      <c r="Q21" t="b">
        <v>1</v>
      </c>
      <c r="R21">
        <v>0.75</v>
      </c>
    </row>
    <row r="22" spans="1:18" x14ac:dyDescent="0.3">
      <c r="A22" t="s">
        <v>559</v>
      </c>
      <c r="B22" t="s">
        <v>563</v>
      </c>
      <c r="C22" t="s">
        <v>561</v>
      </c>
      <c r="D22" t="s">
        <v>107</v>
      </c>
      <c r="E22" t="s">
        <v>630</v>
      </c>
      <c r="F22">
        <v>1</v>
      </c>
      <c r="G22" t="s">
        <v>808</v>
      </c>
      <c r="H22" s="101">
        <v>45848</v>
      </c>
      <c r="I22" s="101">
        <v>402133</v>
      </c>
      <c r="J22" t="s">
        <v>562</v>
      </c>
      <c r="K22">
        <v>7.94</v>
      </c>
      <c r="L22">
        <v>1.1E-4</v>
      </c>
      <c r="M22" t="s">
        <v>562</v>
      </c>
      <c r="N22" s="102">
        <v>3.37</v>
      </c>
      <c r="O22" s="102">
        <v>1</v>
      </c>
      <c r="P22" t="s">
        <v>562</v>
      </c>
      <c r="Q22" t="b">
        <v>1</v>
      </c>
      <c r="R22">
        <v>0.7</v>
      </c>
    </row>
    <row r="23" spans="1:18" x14ac:dyDescent="0.3">
      <c r="A23" t="s">
        <v>559</v>
      </c>
      <c r="B23" t="s">
        <v>563</v>
      </c>
      <c r="C23" t="s">
        <v>561</v>
      </c>
      <c r="D23" t="s">
        <v>108</v>
      </c>
      <c r="E23" t="s">
        <v>631</v>
      </c>
      <c r="F23">
        <v>1</v>
      </c>
      <c r="G23" t="s">
        <v>809</v>
      </c>
      <c r="H23" s="101">
        <v>45848</v>
      </c>
      <c r="I23" s="101">
        <v>402133</v>
      </c>
      <c r="J23" t="s">
        <v>562</v>
      </c>
      <c r="K23">
        <v>3.9</v>
      </c>
      <c r="L23">
        <v>4.8999999999999998E-4</v>
      </c>
      <c r="M23" t="s">
        <v>562</v>
      </c>
      <c r="N23" s="102">
        <v>2.71</v>
      </c>
      <c r="O23" s="102">
        <v>2</v>
      </c>
      <c r="P23" t="s">
        <v>562</v>
      </c>
      <c r="Q23" t="b">
        <v>1</v>
      </c>
      <c r="R23">
        <v>0.75</v>
      </c>
    </row>
    <row r="24" spans="1:18" x14ac:dyDescent="0.3">
      <c r="A24" t="s">
        <v>559</v>
      </c>
      <c r="B24" t="s">
        <v>563</v>
      </c>
      <c r="C24" t="s">
        <v>561</v>
      </c>
      <c r="D24" t="s">
        <v>109</v>
      </c>
      <c r="E24" t="s">
        <v>632</v>
      </c>
      <c r="F24">
        <v>1</v>
      </c>
      <c r="G24" t="s">
        <v>810</v>
      </c>
      <c r="H24" s="101">
        <v>45848</v>
      </c>
      <c r="I24" s="101">
        <v>402133</v>
      </c>
      <c r="J24" t="s">
        <v>562</v>
      </c>
      <c r="K24">
        <v>4.21</v>
      </c>
      <c r="L24">
        <v>1.2999999999999999E-4</v>
      </c>
      <c r="M24" t="s">
        <v>562</v>
      </c>
      <c r="N24" s="102">
        <v>3.99</v>
      </c>
      <c r="O24" s="102">
        <v>1</v>
      </c>
      <c r="P24" t="s">
        <v>562</v>
      </c>
      <c r="Q24" t="b">
        <v>1</v>
      </c>
      <c r="R24">
        <v>0.7</v>
      </c>
    </row>
    <row r="25" spans="1:18" x14ac:dyDescent="0.3">
      <c r="A25" t="s">
        <v>559</v>
      </c>
      <c r="B25" t="s">
        <v>563</v>
      </c>
      <c r="C25" t="s">
        <v>561</v>
      </c>
      <c r="D25" t="s">
        <v>110</v>
      </c>
      <c r="E25" t="s">
        <v>633</v>
      </c>
      <c r="F25">
        <v>1</v>
      </c>
      <c r="G25" t="s">
        <v>811</v>
      </c>
      <c r="H25" s="101">
        <v>45848</v>
      </c>
      <c r="I25" s="101">
        <v>402133</v>
      </c>
      <c r="J25" t="s">
        <v>562</v>
      </c>
      <c r="K25">
        <v>7.63</v>
      </c>
      <c r="L25">
        <v>9.7000000000000005E-4</v>
      </c>
      <c r="M25" t="s">
        <v>562</v>
      </c>
      <c r="N25" s="102">
        <v>4.2300000000000004</v>
      </c>
      <c r="O25" s="102">
        <v>2</v>
      </c>
      <c r="P25" t="s">
        <v>562</v>
      </c>
      <c r="Q25" t="b">
        <v>1</v>
      </c>
      <c r="R25">
        <v>0.75</v>
      </c>
    </row>
    <row r="26" spans="1:18" x14ac:dyDescent="0.3">
      <c r="A26" t="s">
        <v>559</v>
      </c>
      <c r="B26" t="s">
        <v>563</v>
      </c>
      <c r="C26" t="s">
        <v>561</v>
      </c>
      <c r="D26" t="s">
        <v>111</v>
      </c>
      <c r="E26" t="s">
        <v>634</v>
      </c>
      <c r="F26">
        <v>1</v>
      </c>
      <c r="G26" t="s">
        <v>812</v>
      </c>
      <c r="H26" s="101">
        <v>45848</v>
      </c>
      <c r="I26" s="101">
        <v>402133</v>
      </c>
      <c r="J26" t="s">
        <v>562</v>
      </c>
      <c r="K26">
        <v>3.61</v>
      </c>
      <c r="L26">
        <v>1.2999999999999999E-4</v>
      </c>
      <c r="M26" t="s">
        <v>562</v>
      </c>
      <c r="N26" s="102">
        <v>11.21</v>
      </c>
      <c r="O26" s="102">
        <v>1</v>
      </c>
      <c r="P26" t="s">
        <v>562</v>
      </c>
      <c r="Q26" t="b">
        <v>1</v>
      </c>
      <c r="R26">
        <v>0.7</v>
      </c>
    </row>
    <row r="27" spans="1:18" x14ac:dyDescent="0.3">
      <c r="A27" t="s">
        <v>559</v>
      </c>
      <c r="B27" t="s">
        <v>563</v>
      </c>
      <c r="C27" t="s">
        <v>561</v>
      </c>
      <c r="D27" t="s">
        <v>112</v>
      </c>
      <c r="E27" t="s">
        <v>635</v>
      </c>
      <c r="F27">
        <v>1</v>
      </c>
      <c r="G27" t="s">
        <v>813</v>
      </c>
      <c r="H27" s="101">
        <v>45848</v>
      </c>
      <c r="I27" s="101">
        <v>402133</v>
      </c>
      <c r="J27" t="s">
        <v>562</v>
      </c>
      <c r="K27">
        <v>4.28</v>
      </c>
      <c r="L27">
        <v>4.2999999999999999E-4</v>
      </c>
      <c r="M27" t="s">
        <v>562</v>
      </c>
      <c r="N27" s="102">
        <v>7.93</v>
      </c>
      <c r="O27" s="102">
        <v>2</v>
      </c>
      <c r="P27" t="s">
        <v>562</v>
      </c>
      <c r="Q27" t="b">
        <v>1</v>
      </c>
      <c r="R27">
        <v>0.75</v>
      </c>
    </row>
    <row r="28" spans="1:18" x14ac:dyDescent="0.3">
      <c r="A28" t="s">
        <v>559</v>
      </c>
      <c r="B28" t="s">
        <v>563</v>
      </c>
      <c r="C28" t="s">
        <v>561</v>
      </c>
      <c r="D28" t="s">
        <v>113</v>
      </c>
      <c r="E28" t="s">
        <v>636</v>
      </c>
      <c r="F28">
        <v>1</v>
      </c>
      <c r="G28" t="s">
        <v>814</v>
      </c>
      <c r="H28" s="101">
        <v>45848</v>
      </c>
      <c r="I28" s="101">
        <v>402133</v>
      </c>
      <c r="J28" t="s">
        <v>562</v>
      </c>
      <c r="K28">
        <v>3.41</v>
      </c>
      <c r="L28">
        <v>1E-4</v>
      </c>
      <c r="M28" t="s">
        <v>562</v>
      </c>
      <c r="N28" s="102">
        <v>5.18</v>
      </c>
      <c r="O28" s="102">
        <v>1</v>
      </c>
      <c r="P28" t="s">
        <v>562</v>
      </c>
      <c r="Q28" t="b">
        <v>1</v>
      </c>
      <c r="R28">
        <v>0.7</v>
      </c>
    </row>
    <row r="29" spans="1:18" x14ac:dyDescent="0.3">
      <c r="A29" t="s">
        <v>559</v>
      </c>
      <c r="B29" t="s">
        <v>563</v>
      </c>
      <c r="C29" t="s">
        <v>561</v>
      </c>
      <c r="D29" t="s">
        <v>114</v>
      </c>
      <c r="E29" t="s">
        <v>637</v>
      </c>
      <c r="F29">
        <v>1</v>
      </c>
      <c r="G29" t="s">
        <v>815</v>
      </c>
      <c r="H29" s="101">
        <v>45848</v>
      </c>
      <c r="I29" s="101">
        <v>402133</v>
      </c>
      <c r="J29" t="s">
        <v>562</v>
      </c>
      <c r="K29">
        <v>10.87</v>
      </c>
      <c r="L29">
        <v>1.2199999999999999E-3</v>
      </c>
      <c r="M29" t="s">
        <v>562</v>
      </c>
      <c r="N29" s="102">
        <v>3.5</v>
      </c>
      <c r="O29" s="102">
        <v>2</v>
      </c>
      <c r="P29" t="s">
        <v>562</v>
      </c>
      <c r="Q29" t="b">
        <v>1</v>
      </c>
      <c r="R29">
        <v>0.75</v>
      </c>
    </row>
    <row r="30" spans="1:18" x14ac:dyDescent="0.3">
      <c r="A30" t="s">
        <v>559</v>
      </c>
      <c r="B30" t="s">
        <v>563</v>
      </c>
      <c r="C30" t="s">
        <v>561</v>
      </c>
      <c r="D30" t="s">
        <v>115</v>
      </c>
      <c r="E30" t="s">
        <v>638</v>
      </c>
      <c r="F30">
        <v>1</v>
      </c>
      <c r="G30" t="s">
        <v>816</v>
      </c>
      <c r="H30" s="101">
        <v>45848</v>
      </c>
      <c r="I30" s="101">
        <v>402133</v>
      </c>
      <c r="J30" t="s">
        <v>562</v>
      </c>
      <c r="K30">
        <v>9.94</v>
      </c>
      <c r="L30">
        <v>1.1E-4</v>
      </c>
      <c r="M30" t="s">
        <v>562</v>
      </c>
      <c r="N30" s="102">
        <v>5.01</v>
      </c>
      <c r="O30" s="102">
        <v>1</v>
      </c>
      <c r="P30" t="s">
        <v>562</v>
      </c>
      <c r="Q30" t="b">
        <v>1</v>
      </c>
      <c r="R30">
        <v>0.7</v>
      </c>
    </row>
    <row r="31" spans="1:18" x14ac:dyDescent="0.3">
      <c r="A31" t="s">
        <v>559</v>
      </c>
      <c r="B31" t="s">
        <v>563</v>
      </c>
      <c r="C31" t="s">
        <v>561</v>
      </c>
      <c r="D31" t="s">
        <v>116</v>
      </c>
      <c r="E31" t="s">
        <v>639</v>
      </c>
      <c r="F31">
        <v>1</v>
      </c>
      <c r="G31" t="s">
        <v>817</v>
      </c>
      <c r="H31" s="101">
        <v>45848</v>
      </c>
      <c r="I31" s="101">
        <v>402133</v>
      </c>
      <c r="J31" t="s">
        <v>562</v>
      </c>
      <c r="K31">
        <v>5.25</v>
      </c>
      <c r="L31">
        <v>6.4000000000000005E-4</v>
      </c>
      <c r="M31" t="s">
        <v>562</v>
      </c>
      <c r="N31" s="102">
        <v>4.4000000000000004</v>
      </c>
      <c r="O31" s="102">
        <v>2</v>
      </c>
      <c r="P31" t="s">
        <v>562</v>
      </c>
      <c r="Q31" t="b">
        <v>1</v>
      </c>
      <c r="R31">
        <v>0.75</v>
      </c>
    </row>
    <row r="32" spans="1:18" x14ac:dyDescent="0.3">
      <c r="A32" t="s">
        <v>559</v>
      </c>
      <c r="B32" t="s">
        <v>563</v>
      </c>
      <c r="C32" t="s">
        <v>561</v>
      </c>
      <c r="D32" t="s">
        <v>117</v>
      </c>
      <c r="E32" t="s">
        <v>640</v>
      </c>
      <c r="F32">
        <v>1</v>
      </c>
      <c r="G32" t="s">
        <v>818</v>
      </c>
      <c r="H32" s="101">
        <v>45848</v>
      </c>
      <c r="I32" s="101">
        <v>402133</v>
      </c>
      <c r="J32" t="s">
        <v>562</v>
      </c>
      <c r="K32">
        <v>4.5999999999999996</v>
      </c>
      <c r="L32">
        <v>1.2E-4</v>
      </c>
      <c r="M32" t="s">
        <v>562</v>
      </c>
      <c r="N32" s="102">
        <v>5.36</v>
      </c>
      <c r="O32" s="102">
        <v>1</v>
      </c>
      <c r="P32" t="s">
        <v>562</v>
      </c>
      <c r="Q32" t="b">
        <v>1</v>
      </c>
      <c r="R32">
        <v>0.7</v>
      </c>
    </row>
    <row r="33" spans="1:18" x14ac:dyDescent="0.3">
      <c r="A33" t="s">
        <v>559</v>
      </c>
      <c r="B33" t="s">
        <v>563</v>
      </c>
      <c r="C33" t="s">
        <v>561</v>
      </c>
      <c r="D33" t="s">
        <v>118</v>
      </c>
      <c r="E33" t="s">
        <v>641</v>
      </c>
      <c r="F33">
        <v>1</v>
      </c>
      <c r="G33" t="s">
        <v>819</v>
      </c>
      <c r="H33" s="101">
        <v>45848</v>
      </c>
      <c r="I33" s="101">
        <v>402133</v>
      </c>
      <c r="J33" t="s">
        <v>562</v>
      </c>
      <c r="K33">
        <v>7.38</v>
      </c>
      <c r="L33">
        <v>9.6000000000000002E-4</v>
      </c>
      <c r="M33" t="s">
        <v>562</v>
      </c>
      <c r="N33" s="102">
        <v>2.83</v>
      </c>
      <c r="O33" s="102">
        <v>2</v>
      </c>
      <c r="P33" t="s">
        <v>562</v>
      </c>
      <c r="Q33" t="b">
        <v>1</v>
      </c>
      <c r="R33">
        <v>0.75</v>
      </c>
    </row>
    <row r="34" spans="1:18" x14ac:dyDescent="0.3">
      <c r="A34" t="s">
        <v>559</v>
      </c>
      <c r="B34" t="s">
        <v>563</v>
      </c>
      <c r="C34" t="s">
        <v>561</v>
      </c>
      <c r="D34" t="s">
        <v>119</v>
      </c>
      <c r="E34" t="s">
        <v>642</v>
      </c>
      <c r="F34">
        <v>1</v>
      </c>
      <c r="G34" t="s">
        <v>820</v>
      </c>
      <c r="H34" s="101">
        <v>45848</v>
      </c>
      <c r="I34" s="101">
        <v>402133</v>
      </c>
      <c r="J34" t="s">
        <v>562</v>
      </c>
      <c r="K34">
        <v>7.36</v>
      </c>
      <c r="L34">
        <v>1.2999999999999999E-4</v>
      </c>
      <c r="M34" t="s">
        <v>562</v>
      </c>
      <c r="N34" s="102">
        <v>3.11</v>
      </c>
      <c r="O34" s="102">
        <v>1</v>
      </c>
      <c r="P34" t="s">
        <v>562</v>
      </c>
      <c r="Q34" t="b">
        <v>1</v>
      </c>
      <c r="R34">
        <v>0.7</v>
      </c>
    </row>
    <row r="35" spans="1:18" x14ac:dyDescent="0.3">
      <c r="A35" t="s">
        <v>559</v>
      </c>
      <c r="B35" t="s">
        <v>563</v>
      </c>
      <c r="C35" t="s">
        <v>561</v>
      </c>
      <c r="D35" t="s">
        <v>120</v>
      </c>
      <c r="E35" t="s">
        <v>643</v>
      </c>
      <c r="F35">
        <v>1</v>
      </c>
      <c r="G35" t="s">
        <v>821</v>
      </c>
      <c r="H35" s="101">
        <v>45848</v>
      </c>
      <c r="I35" s="101">
        <v>402133</v>
      </c>
      <c r="J35" t="s">
        <v>562</v>
      </c>
      <c r="K35">
        <v>4.5199999999999996</v>
      </c>
      <c r="L35">
        <v>5.6999999999999998E-4</v>
      </c>
      <c r="M35" t="s">
        <v>562</v>
      </c>
      <c r="N35" s="102">
        <v>1.7</v>
      </c>
      <c r="O35" s="102">
        <v>2</v>
      </c>
      <c r="P35" t="s">
        <v>562</v>
      </c>
      <c r="Q35" t="b">
        <v>1</v>
      </c>
      <c r="R35">
        <v>0.75</v>
      </c>
    </row>
    <row r="36" spans="1:18" x14ac:dyDescent="0.3">
      <c r="A36" t="s">
        <v>559</v>
      </c>
      <c r="B36" t="s">
        <v>563</v>
      </c>
      <c r="C36" t="s">
        <v>561</v>
      </c>
      <c r="D36" t="s">
        <v>121</v>
      </c>
      <c r="E36" t="s">
        <v>644</v>
      </c>
      <c r="F36">
        <v>1</v>
      </c>
      <c r="G36" t="s">
        <v>822</v>
      </c>
      <c r="H36" s="101">
        <v>45848</v>
      </c>
      <c r="I36" s="101">
        <v>402133</v>
      </c>
      <c r="J36" t="s">
        <v>562</v>
      </c>
      <c r="K36">
        <v>4.3499999999999996</v>
      </c>
      <c r="L36">
        <v>1.2999999999999999E-4</v>
      </c>
      <c r="M36" t="s">
        <v>562</v>
      </c>
      <c r="N36" s="102">
        <v>3.36</v>
      </c>
      <c r="O36" s="102">
        <v>1</v>
      </c>
      <c r="P36" t="s">
        <v>562</v>
      </c>
      <c r="Q36" t="b">
        <v>1</v>
      </c>
      <c r="R36">
        <v>0.7</v>
      </c>
    </row>
    <row r="37" spans="1:18" x14ac:dyDescent="0.3">
      <c r="A37" t="s">
        <v>559</v>
      </c>
      <c r="B37" t="s">
        <v>563</v>
      </c>
      <c r="C37" t="s">
        <v>561</v>
      </c>
      <c r="D37" t="s">
        <v>122</v>
      </c>
      <c r="E37" t="s">
        <v>645</v>
      </c>
      <c r="F37">
        <v>1</v>
      </c>
      <c r="G37" t="s">
        <v>823</v>
      </c>
      <c r="H37" s="101">
        <v>45848</v>
      </c>
      <c r="I37" s="101">
        <v>402133</v>
      </c>
      <c r="J37" t="s">
        <v>562</v>
      </c>
      <c r="K37">
        <v>5.08</v>
      </c>
      <c r="L37">
        <v>6.4000000000000005E-4</v>
      </c>
      <c r="M37" t="s">
        <v>562</v>
      </c>
      <c r="N37" s="102">
        <v>2.88</v>
      </c>
      <c r="O37" s="102">
        <v>2</v>
      </c>
      <c r="P37" t="s">
        <v>562</v>
      </c>
      <c r="Q37" t="b">
        <v>1</v>
      </c>
      <c r="R37">
        <v>0.75</v>
      </c>
    </row>
    <row r="38" spans="1:18" x14ac:dyDescent="0.3">
      <c r="A38" t="s">
        <v>559</v>
      </c>
      <c r="B38" t="s">
        <v>563</v>
      </c>
      <c r="C38" t="s">
        <v>561</v>
      </c>
      <c r="D38" t="s">
        <v>123</v>
      </c>
      <c r="E38" t="s">
        <v>646</v>
      </c>
      <c r="F38">
        <v>1</v>
      </c>
      <c r="G38" t="s">
        <v>824</v>
      </c>
      <c r="H38" s="101">
        <v>45848</v>
      </c>
      <c r="I38" s="101">
        <v>402133</v>
      </c>
      <c r="J38" t="s">
        <v>562</v>
      </c>
      <c r="K38">
        <v>4.5599999999999996</v>
      </c>
      <c r="L38">
        <v>1.2999999999999999E-4</v>
      </c>
      <c r="M38" t="s">
        <v>562</v>
      </c>
      <c r="N38" s="102">
        <v>3.3</v>
      </c>
      <c r="O38" s="102">
        <v>1</v>
      </c>
      <c r="P38" t="s">
        <v>562</v>
      </c>
      <c r="Q38" t="b">
        <v>1</v>
      </c>
      <c r="R38">
        <v>0.7</v>
      </c>
    </row>
    <row r="39" spans="1:18" x14ac:dyDescent="0.3">
      <c r="A39" t="s">
        <v>559</v>
      </c>
      <c r="B39" t="s">
        <v>563</v>
      </c>
      <c r="C39" t="s">
        <v>561</v>
      </c>
      <c r="D39" t="s">
        <v>124</v>
      </c>
      <c r="E39" t="s">
        <v>647</v>
      </c>
      <c r="F39">
        <v>1</v>
      </c>
      <c r="G39" t="s">
        <v>825</v>
      </c>
      <c r="H39" s="101">
        <v>45848</v>
      </c>
      <c r="I39" s="101">
        <v>402133</v>
      </c>
      <c r="J39" t="s">
        <v>562</v>
      </c>
      <c r="K39">
        <v>5.38</v>
      </c>
      <c r="L39">
        <v>5.4000000000000001E-4</v>
      </c>
      <c r="M39" t="s">
        <v>562</v>
      </c>
      <c r="N39" s="102">
        <v>5.71</v>
      </c>
      <c r="O39" s="102">
        <v>2</v>
      </c>
      <c r="P39" t="s">
        <v>562</v>
      </c>
      <c r="Q39" t="b">
        <v>1</v>
      </c>
      <c r="R39">
        <v>0.75</v>
      </c>
    </row>
    <row r="40" spans="1:18" x14ac:dyDescent="0.3">
      <c r="A40" t="s">
        <v>559</v>
      </c>
      <c r="B40" t="s">
        <v>563</v>
      </c>
      <c r="C40" t="s">
        <v>561</v>
      </c>
      <c r="D40" t="s">
        <v>125</v>
      </c>
      <c r="E40" t="s">
        <v>648</v>
      </c>
      <c r="F40">
        <v>1</v>
      </c>
      <c r="G40" t="s">
        <v>826</v>
      </c>
      <c r="H40" s="101">
        <v>45848</v>
      </c>
      <c r="I40" s="101">
        <v>402133</v>
      </c>
      <c r="J40" t="s">
        <v>562</v>
      </c>
      <c r="K40">
        <v>7.21</v>
      </c>
      <c r="L40">
        <v>1E-4</v>
      </c>
      <c r="M40" t="s">
        <v>562</v>
      </c>
      <c r="N40" s="102">
        <v>5.78</v>
      </c>
      <c r="O40" s="102">
        <v>1</v>
      </c>
      <c r="P40" t="s">
        <v>562</v>
      </c>
      <c r="Q40" t="b">
        <v>1</v>
      </c>
      <c r="R40">
        <v>0.7</v>
      </c>
    </row>
    <row r="41" spans="1:18" x14ac:dyDescent="0.3">
      <c r="A41" t="s">
        <v>559</v>
      </c>
      <c r="B41" t="s">
        <v>563</v>
      </c>
      <c r="C41" t="s">
        <v>561</v>
      </c>
      <c r="D41" t="s">
        <v>126</v>
      </c>
      <c r="E41" t="s">
        <v>649</v>
      </c>
      <c r="F41">
        <v>1</v>
      </c>
      <c r="G41" t="s">
        <v>827</v>
      </c>
      <c r="H41" s="101">
        <v>45848</v>
      </c>
      <c r="I41" s="101">
        <v>402133</v>
      </c>
      <c r="J41" t="s">
        <v>562</v>
      </c>
      <c r="K41">
        <v>4.9400000000000004</v>
      </c>
      <c r="L41">
        <v>4.8999999999999998E-4</v>
      </c>
      <c r="M41" t="s">
        <v>562</v>
      </c>
      <c r="N41" s="102">
        <v>3.16</v>
      </c>
      <c r="O41" s="102">
        <v>2</v>
      </c>
      <c r="P41" t="s">
        <v>562</v>
      </c>
      <c r="Q41" t="b">
        <v>1</v>
      </c>
      <c r="R41">
        <v>0.75</v>
      </c>
    </row>
    <row r="42" spans="1:18" x14ac:dyDescent="0.3">
      <c r="A42" t="s">
        <v>559</v>
      </c>
      <c r="B42" t="s">
        <v>563</v>
      </c>
      <c r="C42" t="s">
        <v>561</v>
      </c>
      <c r="D42" t="s">
        <v>127</v>
      </c>
      <c r="E42" t="s">
        <v>650</v>
      </c>
      <c r="F42">
        <v>1</v>
      </c>
      <c r="G42" t="s">
        <v>828</v>
      </c>
      <c r="H42" s="101">
        <v>45848</v>
      </c>
      <c r="I42" s="101">
        <v>402133</v>
      </c>
      <c r="J42" t="s">
        <v>562</v>
      </c>
      <c r="K42">
        <v>4.97</v>
      </c>
      <c r="L42">
        <v>1E-4</v>
      </c>
      <c r="M42" t="s">
        <v>562</v>
      </c>
      <c r="N42" s="102">
        <v>3.72</v>
      </c>
      <c r="O42" s="102">
        <v>1</v>
      </c>
      <c r="P42" t="s">
        <v>562</v>
      </c>
      <c r="Q42" t="b">
        <v>1</v>
      </c>
      <c r="R42">
        <v>0.7</v>
      </c>
    </row>
    <row r="43" spans="1:18" x14ac:dyDescent="0.3">
      <c r="A43" t="s">
        <v>559</v>
      </c>
      <c r="B43" t="s">
        <v>563</v>
      </c>
      <c r="C43" t="s">
        <v>561</v>
      </c>
      <c r="D43" t="s">
        <v>128</v>
      </c>
      <c r="E43" t="s">
        <v>651</v>
      </c>
      <c r="F43">
        <v>1</v>
      </c>
      <c r="G43" t="s">
        <v>829</v>
      </c>
      <c r="H43" s="101">
        <v>45848</v>
      </c>
      <c r="I43" s="101">
        <v>402133</v>
      </c>
      <c r="J43" t="s">
        <v>562</v>
      </c>
      <c r="K43">
        <v>6.54</v>
      </c>
      <c r="L43">
        <v>6.4999999999999997E-4</v>
      </c>
      <c r="M43" t="s">
        <v>562</v>
      </c>
      <c r="N43" s="102">
        <v>6.37</v>
      </c>
      <c r="O43" s="102">
        <v>2</v>
      </c>
      <c r="P43" t="s">
        <v>562</v>
      </c>
      <c r="Q43" t="b">
        <v>1</v>
      </c>
      <c r="R43">
        <v>0.75</v>
      </c>
    </row>
    <row r="44" spans="1:18" x14ac:dyDescent="0.3">
      <c r="A44" t="s">
        <v>559</v>
      </c>
      <c r="B44" t="s">
        <v>563</v>
      </c>
      <c r="C44" t="s">
        <v>561</v>
      </c>
      <c r="D44" t="s">
        <v>129</v>
      </c>
      <c r="E44" t="s">
        <v>652</v>
      </c>
      <c r="F44">
        <v>1</v>
      </c>
      <c r="G44" t="s">
        <v>830</v>
      </c>
      <c r="H44" s="101">
        <v>45848</v>
      </c>
      <c r="I44" s="101">
        <v>402133</v>
      </c>
      <c r="J44" t="s">
        <v>562</v>
      </c>
      <c r="K44">
        <v>7.62</v>
      </c>
      <c r="L44">
        <v>1E-4</v>
      </c>
      <c r="M44" t="s">
        <v>562</v>
      </c>
      <c r="N44" s="102">
        <v>7.5</v>
      </c>
      <c r="O44" s="102">
        <v>1</v>
      </c>
      <c r="P44" t="s">
        <v>562</v>
      </c>
      <c r="Q44" t="b">
        <v>1</v>
      </c>
      <c r="R44">
        <v>0.7</v>
      </c>
    </row>
    <row r="45" spans="1:18" x14ac:dyDescent="0.3">
      <c r="A45" t="s">
        <v>559</v>
      </c>
      <c r="B45" t="s">
        <v>563</v>
      </c>
      <c r="C45" t="s">
        <v>561</v>
      </c>
      <c r="D45" t="s">
        <v>130</v>
      </c>
      <c r="E45" t="s">
        <v>653</v>
      </c>
      <c r="F45">
        <v>1</v>
      </c>
      <c r="G45" t="s">
        <v>831</v>
      </c>
      <c r="H45" s="101">
        <v>45848</v>
      </c>
      <c r="I45" s="101">
        <v>402133</v>
      </c>
      <c r="J45" t="s">
        <v>562</v>
      </c>
      <c r="K45">
        <v>8</v>
      </c>
      <c r="L45">
        <v>8.0000000000000004E-4</v>
      </c>
      <c r="M45" t="s">
        <v>562</v>
      </c>
      <c r="N45" s="102">
        <v>4.99</v>
      </c>
      <c r="O45" s="102">
        <v>2</v>
      </c>
      <c r="P45" t="s">
        <v>562</v>
      </c>
      <c r="Q45" t="b">
        <v>1</v>
      </c>
      <c r="R45">
        <v>0.75</v>
      </c>
    </row>
    <row r="46" spans="1:18" x14ac:dyDescent="0.3">
      <c r="A46" t="s">
        <v>559</v>
      </c>
      <c r="B46" t="s">
        <v>563</v>
      </c>
      <c r="C46" t="s">
        <v>561</v>
      </c>
      <c r="D46" t="s">
        <v>131</v>
      </c>
      <c r="E46" t="s">
        <v>654</v>
      </c>
      <c r="F46">
        <v>1</v>
      </c>
      <c r="G46" t="s">
        <v>832</v>
      </c>
      <c r="H46" s="101">
        <v>45848</v>
      </c>
      <c r="I46" s="101">
        <v>402133</v>
      </c>
      <c r="J46" t="s">
        <v>562</v>
      </c>
      <c r="K46">
        <v>6.47</v>
      </c>
      <c r="L46">
        <v>1E-4</v>
      </c>
      <c r="M46" t="s">
        <v>562</v>
      </c>
      <c r="N46" s="102">
        <v>17.16</v>
      </c>
      <c r="O46" s="102">
        <v>1</v>
      </c>
      <c r="P46" t="s">
        <v>562</v>
      </c>
      <c r="Q46" t="b">
        <v>1</v>
      </c>
      <c r="R46">
        <v>0.7</v>
      </c>
    </row>
    <row r="47" spans="1:18" x14ac:dyDescent="0.3">
      <c r="A47" t="s">
        <v>559</v>
      </c>
      <c r="B47" t="s">
        <v>563</v>
      </c>
      <c r="C47" t="s">
        <v>561</v>
      </c>
      <c r="D47" t="s">
        <v>132</v>
      </c>
      <c r="E47" t="s">
        <v>655</v>
      </c>
      <c r="F47">
        <v>1</v>
      </c>
      <c r="G47" t="s">
        <v>833</v>
      </c>
      <c r="H47" s="101">
        <v>45848</v>
      </c>
      <c r="I47" s="101">
        <v>402133</v>
      </c>
      <c r="J47" t="s">
        <v>562</v>
      </c>
      <c r="K47">
        <v>3.69</v>
      </c>
      <c r="L47">
        <v>1.9000000000000001E-4</v>
      </c>
      <c r="M47" t="s">
        <v>562</v>
      </c>
      <c r="N47" s="102">
        <v>5.2</v>
      </c>
      <c r="O47" s="102">
        <v>2</v>
      </c>
      <c r="P47" t="s">
        <v>562</v>
      </c>
      <c r="Q47" t="b">
        <v>1</v>
      </c>
      <c r="R47">
        <v>0.75</v>
      </c>
    </row>
    <row r="48" spans="1:18" x14ac:dyDescent="0.3">
      <c r="A48" t="s">
        <v>559</v>
      </c>
      <c r="B48" t="s">
        <v>563</v>
      </c>
      <c r="C48" t="s">
        <v>561</v>
      </c>
      <c r="D48" t="s">
        <v>133</v>
      </c>
      <c r="E48" t="s">
        <v>656</v>
      </c>
      <c r="F48">
        <v>1</v>
      </c>
      <c r="G48" t="s">
        <v>834</v>
      </c>
      <c r="H48" s="101">
        <v>45848</v>
      </c>
      <c r="I48" s="101">
        <v>402133</v>
      </c>
      <c r="J48" t="s">
        <v>562</v>
      </c>
      <c r="K48">
        <v>3.15</v>
      </c>
      <c r="L48">
        <v>5.0000000000000002E-5</v>
      </c>
      <c r="M48" t="s">
        <v>562</v>
      </c>
      <c r="N48" s="102">
        <v>8.1300000000000008</v>
      </c>
      <c r="O48" s="102">
        <v>1</v>
      </c>
      <c r="P48" t="s">
        <v>562</v>
      </c>
      <c r="Q48" t="b">
        <v>1</v>
      </c>
      <c r="R48">
        <v>0.7</v>
      </c>
    </row>
    <row r="49" spans="1:18" x14ac:dyDescent="0.3">
      <c r="A49" t="s">
        <v>559</v>
      </c>
      <c r="B49" t="s">
        <v>563</v>
      </c>
      <c r="C49" t="s">
        <v>561</v>
      </c>
      <c r="D49" t="s">
        <v>134</v>
      </c>
      <c r="E49" t="s">
        <v>657</v>
      </c>
      <c r="F49">
        <v>1</v>
      </c>
      <c r="G49" t="s">
        <v>835</v>
      </c>
      <c r="H49" s="101">
        <v>45848</v>
      </c>
      <c r="I49" s="101">
        <v>402133</v>
      </c>
      <c r="J49" t="s">
        <v>562</v>
      </c>
      <c r="K49">
        <v>6.12</v>
      </c>
      <c r="L49">
        <v>9.1E-4</v>
      </c>
      <c r="M49" t="s">
        <v>562</v>
      </c>
      <c r="N49" s="102">
        <v>2.96</v>
      </c>
      <c r="O49" s="102">
        <v>2</v>
      </c>
      <c r="P49" t="s">
        <v>562</v>
      </c>
      <c r="Q49" t="b">
        <v>1</v>
      </c>
      <c r="R49">
        <v>0.75</v>
      </c>
    </row>
    <row r="50" spans="1:18" x14ac:dyDescent="0.3">
      <c r="A50" t="s">
        <v>559</v>
      </c>
      <c r="B50" t="s">
        <v>563</v>
      </c>
      <c r="C50" t="s">
        <v>561</v>
      </c>
      <c r="D50" t="s">
        <v>135</v>
      </c>
      <c r="E50" t="s">
        <v>658</v>
      </c>
      <c r="F50">
        <v>1</v>
      </c>
      <c r="G50" t="s">
        <v>836</v>
      </c>
      <c r="H50" s="101">
        <v>45848</v>
      </c>
      <c r="I50" s="101">
        <v>402133</v>
      </c>
      <c r="J50" t="s">
        <v>562</v>
      </c>
      <c r="K50">
        <v>5.21</v>
      </c>
      <c r="L50">
        <v>1.4999999999999999E-4</v>
      </c>
      <c r="M50" t="s">
        <v>562</v>
      </c>
      <c r="N50" s="102">
        <v>3.72</v>
      </c>
      <c r="O50" s="102">
        <v>1</v>
      </c>
      <c r="P50" t="s">
        <v>562</v>
      </c>
      <c r="Q50" t="b">
        <v>1</v>
      </c>
      <c r="R50">
        <v>0.7</v>
      </c>
    </row>
    <row r="51" spans="1:18" x14ac:dyDescent="0.3">
      <c r="A51" t="s">
        <v>559</v>
      </c>
      <c r="B51" t="s">
        <v>563</v>
      </c>
      <c r="C51" t="s">
        <v>561</v>
      </c>
      <c r="D51" t="s">
        <v>136</v>
      </c>
      <c r="E51" t="s">
        <v>659</v>
      </c>
      <c r="F51">
        <v>1</v>
      </c>
      <c r="G51" t="s">
        <v>837</v>
      </c>
      <c r="H51" s="101">
        <v>45848</v>
      </c>
      <c r="I51" s="101">
        <v>402133</v>
      </c>
      <c r="J51" t="s">
        <v>562</v>
      </c>
      <c r="K51">
        <v>12.25</v>
      </c>
      <c r="L51">
        <v>1.341E-2</v>
      </c>
      <c r="M51" t="s">
        <v>562</v>
      </c>
      <c r="N51" s="102">
        <v>2.1</v>
      </c>
      <c r="O51" s="102">
        <v>3.5</v>
      </c>
      <c r="P51" t="s">
        <v>562</v>
      </c>
      <c r="Q51" t="b">
        <v>1</v>
      </c>
      <c r="R51">
        <v>0.75</v>
      </c>
    </row>
    <row r="52" spans="1:18" x14ac:dyDescent="0.3">
      <c r="A52" t="s">
        <v>559</v>
      </c>
      <c r="B52" t="s">
        <v>563</v>
      </c>
      <c r="C52" t="s">
        <v>561</v>
      </c>
      <c r="D52" t="s">
        <v>137</v>
      </c>
      <c r="E52" t="s">
        <v>660</v>
      </c>
      <c r="F52">
        <v>1</v>
      </c>
      <c r="G52" t="s">
        <v>838</v>
      </c>
      <c r="H52" s="101">
        <v>45848</v>
      </c>
      <c r="I52" s="101">
        <v>402133</v>
      </c>
      <c r="J52" t="s">
        <v>562</v>
      </c>
      <c r="K52">
        <v>8.51</v>
      </c>
      <c r="L52">
        <v>9.6000000000000002E-4</v>
      </c>
      <c r="M52" t="s">
        <v>562</v>
      </c>
      <c r="N52" s="102">
        <v>5.57</v>
      </c>
      <c r="O52" s="102">
        <v>1.75</v>
      </c>
      <c r="P52" t="s">
        <v>562</v>
      </c>
      <c r="Q52" t="b">
        <v>1</v>
      </c>
      <c r="R52">
        <v>0.7</v>
      </c>
    </row>
    <row r="53" spans="1:18" x14ac:dyDescent="0.3">
      <c r="A53" t="s">
        <v>559</v>
      </c>
      <c r="B53" t="s">
        <v>563</v>
      </c>
      <c r="C53" t="s">
        <v>561</v>
      </c>
      <c r="D53" t="s">
        <v>138</v>
      </c>
      <c r="E53" t="s">
        <v>661</v>
      </c>
      <c r="F53">
        <v>1</v>
      </c>
      <c r="G53" t="s">
        <v>839</v>
      </c>
      <c r="H53" s="101">
        <v>45848</v>
      </c>
      <c r="I53" s="101">
        <v>402133</v>
      </c>
      <c r="J53" t="s">
        <v>562</v>
      </c>
      <c r="K53">
        <v>7.38</v>
      </c>
      <c r="L53">
        <v>4.3600000000000002E-3</v>
      </c>
      <c r="M53" t="s">
        <v>562</v>
      </c>
      <c r="N53" s="102">
        <v>2.5</v>
      </c>
      <c r="O53" s="102">
        <v>3.5</v>
      </c>
      <c r="P53" t="s">
        <v>562</v>
      </c>
      <c r="Q53" t="b">
        <v>1</v>
      </c>
      <c r="R53">
        <v>0.75</v>
      </c>
    </row>
    <row r="54" spans="1:18" x14ac:dyDescent="0.3">
      <c r="A54" t="s">
        <v>559</v>
      </c>
      <c r="B54" t="s">
        <v>563</v>
      </c>
      <c r="C54" t="s">
        <v>561</v>
      </c>
      <c r="D54" t="s">
        <v>139</v>
      </c>
      <c r="E54" t="s">
        <v>662</v>
      </c>
      <c r="F54">
        <v>1</v>
      </c>
      <c r="G54" t="s">
        <v>840</v>
      </c>
      <c r="H54" s="101">
        <v>45848</v>
      </c>
      <c r="I54" s="101">
        <v>402133</v>
      </c>
      <c r="J54" t="s">
        <v>562</v>
      </c>
      <c r="K54">
        <v>7.57</v>
      </c>
      <c r="L54">
        <v>8.4999999999999995E-4</v>
      </c>
      <c r="M54" t="s">
        <v>562</v>
      </c>
      <c r="N54" s="102">
        <v>4.2</v>
      </c>
      <c r="O54" s="102">
        <v>1.75</v>
      </c>
      <c r="P54" t="s">
        <v>562</v>
      </c>
      <c r="Q54" t="b">
        <v>1</v>
      </c>
      <c r="R54">
        <v>0.7</v>
      </c>
    </row>
    <row r="55" spans="1:18" x14ac:dyDescent="0.3">
      <c r="A55" t="s">
        <v>559</v>
      </c>
      <c r="B55" t="s">
        <v>563</v>
      </c>
      <c r="C55" t="s">
        <v>561</v>
      </c>
      <c r="D55" t="s">
        <v>140</v>
      </c>
      <c r="E55" t="s">
        <v>663</v>
      </c>
      <c r="F55">
        <v>1</v>
      </c>
      <c r="G55" t="s">
        <v>841</v>
      </c>
      <c r="H55" s="101">
        <v>45848</v>
      </c>
      <c r="I55" s="101">
        <v>402133</v>
      </c>
      <c r="J55" t="s">
        <v>562</v>
      </c>
      <c r="K55">
        <v>16.66</v>
      </c>
      <c r="L55">
        <v>1.286E-2</v>
      </c>
      <c r="M55" t="s">
        <v>562</v>
      </c>
      <c r="N55" s="102">
        <v>28.09</v>
      </c>
      <c r="O55" s="102">
        <v>3.5</v>
      </c>
      <c r="P55" t="s">
        <v>562</v>
      </c>
      <c r="Q55" t="b">
        <v>1</v>
      </c>
      <c r="R55">
        <v>0.75</v>
      </c>
    </row>
    <row r="56" spans="1:18" x14ac:dyDescent="0.3">
      <c r="A56" t="s">
        <v>559</v>
      </c>
      <c r="B56" t="s">
        <v>563</v>
      </c>
      <c r="C56" t="s">
        <v>561</v>
      </c>
      <c r="D56" t="s">
        <v>141</v>
      </c>
      <c r="E56" t="s">
        <v>664</v>
      </c>
      <c r="F56">
        <v>1</v>
      </c>
      <c r="G56" t="s">
        <v>842</v>
      </c>
      <c r="H56" s="101">
        <v>45848</v>
      </c>
      <c r="I56" s="101">
        <v>402133</v>
      </c>
      <c r="J56" t="s">
        <v>562</v>
      </c>
      <c r="K56">
        <v>3.96</v>
      </c>
      <c r="L56">
        <v>2.0000000000000001E-4</v>
      </c>
      <c r="M56" t="s">
        <v>562</v>
      </c>
      <c r="N56" s="102">
        <v>4.2699999999999996</v>
      </c>
      <c r="O56" s="102">
        <v>1.75</v>
      </c>
      <c r="P56" t="s">
        <v>562</v>
      </c>
      <c r="Q56" t="b">
        <v>1</v>
      </c>
      <c r="R56">
        <v>0.7</v>
      </c>
    </row>
    <row r="57" spans="1:18" x14ac:dyDescent="0.3">
      <c r="A57" t="s">
        <v>559</v>
      </c>
      <c r="B57" t="s">
        <v>563</v>
      </c>
      <c r="C57" t="s">
        <v>561</v>
      </c>
      <c r="D57" t="s">
        <v>142</v>
      </c>
      <c r="E57" t="s">
        <v>665</v>
      </c>
      <c r="F57">
        <v>1</v>
      </c>
      <c r="G57" t="s">
        <v>843</v>
      </c>
      <c r="H57" s="101">
        <v>45848</v>
      </c>
      <c r="I57" s="101">
        <v>402133</v>
      </c>
      <c r="J57" t="s">
        <v>562</v>
      </c>
      <c r="K57">
        <v>10.44</v>
      </c>
      <c r="L57">
        <v>1.2700000000000001E-3</v>
      </c>
      <c r="M57" t="s">
        <v>562</v>
      </c>
      <c r="N57" s="102">
        <v>2.39</v>
      </c>
      <c r="O57" s="102">
        <v>1.75</v>
      </c>
      <c r="P57" t="s">
        <v>562</v>
      </c>
      <c r="Q57" t="b">
        <v>1</v>
      </c>
      <c r="R57">
        <v>0.7</v>
      </c>
    </row>
    <row r="58" spans="1:18" x14ac:dyDescent="0.3">
      <c r="A58" t="s">
        <v>559</v>
      </c>
      <c r="B58" t="s">
        <v>563</v>
      </c>
      <c r="C58" t="s">
        <v>561</v>
      </c>
      <c r="D58" t="s">
        <v>143</v>
      </c>
      <c r="E58" t="s">
        <v>666</v>
      </c>
      <c r="F58">
        <v>1</v>
      </c>
      <c r="G58" t="s">
        <v>844</v>
      </c>
      <c r="H58" s="101">
        <v>45848</v>
      </c>
      <c r="I58" s="101">
        <v>402133</v>
      </c>
      <c r="J58" t="s">
        <v>562</v>
      </c>
      <c r="K58">
        <v>12.46</v>
      </c>
      <c r="L58">
        <v>1.2460000000000001E-2</v>
      </c>
      <c r="M58" t="s">
        <v>562</v>
      </c>
      <c r="N58" s="102">
        <v>4.62</v>
      </c>
      <c r="O58" s="102">
        <v>3.5</v>
      </c>
      <c r="P58" t="s">
        <v>562</v>
      </c>
      <c r="Q58" t="b">
        <v>1</v>
      </c>
      <c r="R58">
        <v>0.75</v>
      </c>
    </row>
    <row r="59" spans="1:18" x14ac:dyDescent="0.3">
      <c r="A59" t="s">
        <v>559</v>
      </c>
      <c r="B59" t="s">
        <v>563</v>
      </c>
      <c r="C59" t="s">
        <v>561</v>
      </c>
      <c r="D59" t="s">
        <v>144</v>
      </c>
      <c r="E59" t="s">
        <v>667</v>
      </c>
      <c r="F59">
        <v>1</v>
      </c>
      <c r="G59" t="s">
        <v>845</v>
      </c>
      <c r="H59" s="101">
        <v>45848</v>
      </c>
      <c r="I59" s="101">
        <v>402133</v>
      </c>
      <c r="J59" t="s">
        <v>562</v>
      </c>
      <c r="K59">
        <v>11.52</v>
      </c>
      <c r="L59">
        <v>1.2999999999999999E-3</v>
      </c>
      <c r="M59" t="s">
        <v>562</v>
      </c>
      <c r="N59" s="102">
        <v>5.64</v>
      </c>
      <c r="O59" s="102">
        <v>1.75</v>
      </c>
      <c r="P59" t="s">
        <v>562</v>
      </c>
      <c r="Q59" t="b">
        <v>1</v>
      </c>
      <c r="R59">
        <v>0.7</v>
      </c>
    </row>
    <row r="60" spans="1:18" x14ac:dyDescent="0.3">
      <c r="A60" t="s">
        <v>559</v>
      </c>
      <c r="B60" t="s">
        <v>563</v>
      </c>
      <c r="C60" t="s">
        <v>561</v>
      </c>
      <c r="D60" t="s">
        <v>145</v>
      </c>
      <c r="E60" t="s">
        <v>668</v>
      </c>
      <c r="F60">
        <v>1</v>
      </c>
      <c r="G60" t="s">
        <v>846</v>
      </c>
      <c r="H60" s="101">
        <v>45848</v>
      </c>
      <c r="I60" s="101">
        <v>402133</v>
      </c>
      <c r="J60" t="s">
        <v>562</v>
      </c>
      <c r="K60">
        <v>24.29</v>
      </c>
      <c r="L60">
        <v>5.9459999999999999E-2</v>
      </c>
      <c r="M60" t="s">
        <v>562</v>
      </c>
      <c r="N60" s="102">
        <v>3.74</v>
      </c>
      <c r="O60" s="102">
        <v>3.5</v>
      </c>
      <c r="P60" t="s">
        <v>562</v>
      </c>
      <c r="Q60" t="b">
        <v>1</v>
      </c>
      <c r="R60">
        <v>0.75</v>
      </c>
    </row>
    <row r="61" spans="1:18" x14ac:dyDescent="0.3">
      <c r="A61" t="s">
        <v>559</v>
      </c>
      <c r="B61" t="s">
        <v>563</v>
      </c>
      <c r="C61" t="s">
        <v>561</v>
      </c>
      <c r="D61" t="s">
        <v>146</v>
      </c>
      <c r="E61" t="s">
        <v>669</v>
      </c>
      <c r="F61">
        <v>1</v>
      </c>
      <c r="G61" t="s">
        <v>847</v>
      </c>
      <c r="H61" s="101">
        <v>45848</v>
      </c>
      <c r="I61" s="101">
        <v>402133</v>
      </c>
      <c r="J61" t="s">
        <v>562</v>
      </c>
      <c r="K61">
        <v>8.5399999999999991</v>
      </c>
      <c r="L61">
        <v>9.6000000000000002E-4</v>
      </c>
      <c r="M61" t="s">
        <v>562</v>
      </c>
      <c r="N61" s="102">
        <v>14.61</v>
      </c>
      <c r="O61" s="102">
        <v>1.75</v>
      </c>
      <c r="P61" t="s">
        <v>562</v>
      </c>
      <c r="Q61" t="b">
        <v>1</v>
      </c>
      <c r="R61">
        <v>0.7</v>
      </c>
    </row>
    <row r="62" spans="1:18" x14ac:dyDescent="0.3">
      <c r="A62" t="s">
        <v>559</v>
      </c>
      <c r="B62" t="s">
        <v>563</v>
      </c>
      <c r="C62" t="s">
        <v>561</v>
      </c>
      <c r="D62" t="s">
        <v>147</v>
      </c>
      <c r="E62" t="s">
        <v>670</v>
      </c>
      <c r="F62">
        <v>1</v>
      </c>
      <c r="G62" t="s">
        <v>848</v>
      </c>
      <c r="H62" s="101">
        <v>45848</v>
      </c>
      <c r="I62" s="101">
        <v>402133</v>
      </c>
      <c r="J62" t="s">
        <v>562</v>
      </c>
      <c r="K62">
        <v>9.83</v>
      </c>
      <c r="L62">
        <v>6.8999999999999999E-3</v>
      </c>
      <c r="M62" t="s">
        <v>562</v>
      </c>
      <c r="N62" s="102">
        <v>7.74</v>
      </c>
      <c r="O62" s="102">
        <v>3.5</v>
      </c>
      <c r="P62" t="s">
        <v>562</v>
      </c>
      <c r="Q62" t="b">
        <v>1</v>
      </c>
      <c r="R62">
        <v>0.75</v>
      </c>
    </row>
    <row r="63" spans="1:18" x14ac:dyDescent="0.3">
      <c r="A63" t="s">
        <v>559</v>
      </c>
      <c r="B63" t="s">
        <v>563</v>
      </c>
      <c r="C63" t="s">
        <v>561</v>
      </c>
      <c r="D63" t="s">
        <v>148</v>
      </c>
      <c r="E63" t="s">
        <v>671</v>
      </c>
      <c r="F63">
        <v>1</v>
      </c>
      <c r="G63" t="s">
        <v>849</v>
      </c>
      <c r="H63" s="101">
        <v>45848</v>
      </c>
      <c r="I63" s="101">
        <v>402133</v>
      </c>
      <c r="J63" t="s">
        <v>562</v>
      </c>
      <c r="K63">
        <v>9.83</v>
      </c>
      <c r="L63">
        <v>1.07E-3</v>
      </c>
      <c r="M63" t="s">
        <v>562</v>
      </c>
      <c r="N63" s="102">
        <v>14.36</v>
      </c>
      <c r="O63" s="102">
        <v>1.75</v>
      </c>
      <c r="P63" t="s">
        <v>562</v>
      </c>
      <c r="Q63" t="b">
        <v>1</v>
      </c>
      <c r="R63">
        <v>0.7</v>
      </c>
    </row>
    <row r="64" spans="1:18" x14ac:dyDescent="0.3">
      <c r="A64" t="s">
        <v>559</v>
      </c>
      <c r="B64" t="s">
        <v>563</v>
      </c>
      <c r="C64" t="s">
        <v>561</v>
      </c>
      <c r="D64" t="s">
        <v>149</v>
      </c>
      <c r="E64" t="s">
        <v>672</v>
      </c>
      <c r="F64">
        <v>1</v>
      </c>
      <c r="G64" t="s">
        <v>850</v>
      </c>
      <c r="H64" s="101">
        <v>45848</v>
      </c>
      <c r="I64" s="101">
        <v>402133</v>
      </c>
      <c r="J64" t="s">
        <v>562</v>
      </c>
      <c r="K64">
        <v>12.1</v>
      </c>
      <c r="L64">
        <v>1.162E-2</v>
      </c>
      <c r="M64" t="s">
        <v>562</v>
      </c>
      <c r="N64" s="102">
        <v>1.89</v>
      </c>
      <c r="O64" s="102">
        <v>3.5</v>
      </c>
      <c r="P64" t="s">
        <v>562</v>
      </c>
      <c r="Q64" t="b">
        <v>1</v>
      </c>
      <c r="R64">
        <v>0.75</v>
      </c>
    </row>
    <row r="65" spans="1:18" x14ac:dyDescent="0.3">
      <c r="A65" t="s">
        <v>559</v>
      </c>
      <c r="B65" t="s">
        <v>563</v>
      </c>
      <c r="C65" t="s">
        <v>561</v>
      </c>
      <c r="D65" t="s">
        <v>150</v>
      </c>
      <c r="E65" t="s">
        <v>673</v>
      </c>
      <c r="F65">
        <v>1</v>
      </c>
      <c r="G65" t="s">
        <v>851</v>
      </c>
      <c r="H65" s="101">
        <v>45848</v>
      </c>
      <c r="I65" s="101">
        <v>402133</v>
      </c>
      <c r="J65" t="s">
        <v>562</v>
      </c>
      <c r="K65">
        <v>11.52</v>
      </c>
      <c r="L65">
        <v>1.2999999999999999E-3</v>
      </c>
      <c r="M65" t="s">
        <v>562</v>
      </c>
      <c r="N65" s="102">
        <v>3.57</v>
      </c>
      <c r="O65" s="102">
        <v>1.75</v>
      </c>
      <c r="P65" t="s">
        <v>562</v>
      </c>
      <c r="Q65" t="b">
        <v>1</v>
      </c>
      <c r="R65">
        <v>0.7</v>
      </c>
    </row>
    <row r="66" spans="1:18" x14ac:dyDescent="0.3">
      <c r="A66" t="s">
        <v>559</v>
      </c>
      <c r="B66" t="s">
        <v>563</v>
      </c>
      <c r="C66" t="s">
        <v>561</v>
      </c>
      <c r="D66" t="s">
        <v>151</v>
      </c>
      <c r="E66" t="s">
        <v>674</v>
      </c>
      <c r="F66">
        <v>1</v>
      </c>
      <c r="G66" t="s">
        <v>852</v>
      </c>
      <c r="H66" s="101">
        <v>45848</v>
      </c>
      <c r="I66" s="101">
        <v>402133</v>
      </c>
      <c r="J66" t="s">
        <v>562</v>
      </c>
      <c r="K66">
        <v>5.56</v>
      </c>
      <c r="L66">
        <v>2.7499999999999998E-3</v>
      </c>
      <c r="M66" t="s">
        <v>562</v>
      </c>
      <c r="N66" s="102">
        <v>1.9</v>
      </c>
      <c r="O66" s="102">
        <v>3.5</v>
      </c>
      <c r="P66" t="s">
        <v>562</v>
      </c>
      <c r="Q66" t="b">
        <v>1</v>
      </c>
      <c r="R66">
        <v>0.75</v>
      </c>
    </row>
    <row r="67" spans="1:18" x14ac:dyDescent="0.3">
      <c r="A67" t="s">
        <v>559</v>
      </c>
      <c r="B67" t="s">
        <v>563</v>
      </c>
      <c r="C67" t="s">
        <v>561</v>
      </c>
      <c r="D67" t="s">
        <v>152</v>
      </c>
      <c r="E67" t="s">
        <v>675</v>
      </c>
      <c r="F67">
        <v>1</v>
      </c>
      <c r="G67" t="s">
        <v>853</v>
      </c>
      <c r="H67" s="101">
        <v>45848</v>
      </c>
      <c r="I67" s="101">
        <v>402133</v>
      </c>
      <c r="J67" t="s">
        <v>562</v>
      </c>
      <c r="K67">
        <v>5.87</v>
      </c>
      <c r="L67">
        <v>7.3999999999999999E-4</v>
      </c>
      <c r="M67" t="s">
        <v>562</v>
      </c>
      <c r="N67" s="102">
        <v>4.22</v>
      </c>
      <c r="O67" s="102">
        <v>1.75</v>
      </c>
      <c r="P67" t="s">
        <v>562</v>
      </c>
      <c r="Q67" t="b">
        <v>1</v>
      </c>
      <c r="R67">
        <v>0.7</v>
      </c>
    </row>
    <row r="68" spans="1:18" x14ac:dyDescent="0.3">
      <c r="A68" t="s">
        <v>559</v>
      </c>
      <c r="B68" t="s">
        <v>563</v>
      </c>
      <c r="C68" t="s">
        <v>561</v>
      </c>
      <c r="D68" t="s">
        <v>153</v>
      </c>
      <c r="E68" t="s">
        <v>676</v>
      </c>
      <c r="F68">
        <v>1</v>
      </c>
      <c r="G68" t="s">
        <v>854</v>
      </c>
      <c r="H68" s="101">
        <v>45848</v>
      </c>
      <c r="I68" s="101">
        <v>402133</v>
      </c>
      <c r="J68" t="s">
        <v>562</v>
      </c>
      <c r="K68">
        <v>9.34</v>
      </c>
      <c r="L68">
        <v>9.0200000000000002E-3</v>
      </c>
      <c r="M68" t="s">
        <v>562</v>
      </c>
      <c r="N68" s="102">
        <v>2.96</v>
      </c>
      <c r="O68" s="102">
        <v>3.5</v>
      </c>
      <c r="P68" t="s">
        <v>562</v>
      </c>
      <c r="Q68" t="b">
        <v>1</v>
      </c>
      <c r="R68">
        <v>0.75</v>
      </c>
    </row>
    <row r="69" spans="1:18" x14ac:dyDescent="0.3">
      <c r="A69" t="s">
        <v>559</v>
      </c>
      <c r="B69" t="s">
        <v>563</v>
      </c>
      <c r="C69" t="s">
        <v>561</v>
      </c>
      <c r="D69" t="s">
        <v>154</v>
      </c>
      <c r="E69" t="s">
        <v>677</v>
      </c>
      <c r="F69">
        <v>1</v>
      </c>
      <c r="G69" t="s">
        <v>855</v>
      </c>
      <c r="H69" s="101">
        <v>45848</v>
      </c>
      <c r="I69" s="101">
        <v>402133</v>
      </c>
      <c r="J69" t="s">
        <v>562</v>
      </c>
      <c r="K69">
        <v>5.33</v>
      </c>
      <c r="L69">
        <v>6.7000000000000002E-4</v>
      </c>
      <c r="M69" t="s">
        <v>562</v>
      </c>
      <c r="N69" s="102">
        <v>11.85</v>
      </c>
      <c r="O69" s="102">
        <v>1.75</v>
      </c>
      <c r="P69" t="s">
        <v>562</v>
      </c>
      <c r="Q69" t="b">
        <v>1</v>
      </c>
      <c r="R69">
        <v>0.7</v>
      </c>
    </row>
    <row r="70" spans="1:18" x14ac:dyDescent="0.3">
      <c r="A70" t="s">
        <v>559</v>
      </c>
      <c r="B70" t="s">
        <v>563</v>
      </c>
      <c r="C70" t="s">
        <v>561</v>
      </c>
      <c r="D70" t="s">
        <v>155</v>
      </c>
      <c r="E70" t="s">
        <v>678</v>
      </c>
      <c r="F70">
        <v>1</v>
      </c>
      <c r="G70" t="s">
        <v>856</v>
      </c>
      <c r="H70" s="101">
        <v>45848</v>
      </c>
      <c r="I70" s="101">
        <v>402133</v>
      </c>
      <c r="J70" t="s">
        <v>562</v>
      </c>
      <c r="K70">
        <v>6</v>
      </c>
      <c r="L70">
        <v>2.5699999999999998E-3</v>
      </c>
      <c r="M70" t="s">
        <v>562</v>
      </c>
      <c r="N70" s="102">
        <v>5.54</v>
      </c>
      <c r="O70" s="102">
        <v>3.5</v>
      </c>
      <c r="P70" t="s">
        <v>562</v>
      </c>
      <c r="Q70" t="b">
        <v>1</v>
      </c>
      <c r="R70">
        <v>0.75</v>
      </c>
    </row>
    <row r="71" spans="1:18" x14ac:dyDescent="0.3">
      <c r="A71" t="s">
        <v>559</v>
      </c>
      <c r="B71" t="s">
        <v>563</v>
      </c>
      <c r="C71" t="s">
        <v>561</v>
      </c>
      <c r="D71" t="s">
        <v>156</v>
      </c>
      <c r="E71" t="s">
        <v>679</v>
      </c>
      <c r="F71">
        <v>1</v>
      </c>
      <c r="G71" t="s">
        <v>857</v>
      </c>
      <c r="H71" s="101">
        <v>45848</v>
      </c>
      <c r="I71" s="101">
        <v>402133</v>
      </c>
      <c r="J71" t="s">
        <v>562</v>
      </c>
      <c r="K71">
        <v>5.13</v>
      </c>
      <c r="L71">
        <v>5.1000000000000004E-4</v>
      </c>
      <c r="M71" t="s">
        <v>562</v>
      </c>
      <c r="N71" s="102">
        <v>5.48</v>
      </c>
      <c r="O71" s="102">
        <v>1.75</v>
      </c>
      <c r="P71" t="s">
        <v>562</v>
      </c>
      <c r="Q71" t="b">
        <v>1</v>
      </c>
      <c r="R71">
        <v>0.7</v>
      </c>
    </row>
    <row r="72" spans="1:18" x14ac:dyDescent="0.3">
      <c r="A72" t="s">
        <v>559</v>
      </c>
      <c r="B72" t="s">
        <v>563</v>
      </c>
      <c r="C72" t="s">
        <v>561</v>
      </c>
      <c r="D72" t="s">
        <v>157</v>
      </c>
      <c r="E72" t="s">
        <v>680</v>
      </c>
      <c r="F72">
        <v>1</v>
      </c>
      <c r="G72" t="s">
        <v>858</v>
      </c>
      <c r="H72" s="101">
        <v>45848</v>
      </c>
      <c r="I72" s="101">
        <v>402133</v>
      </c>
      <c r="J72" t="s">
        <v>562</v>
      </c>
      <c r="K72">
        <v>14.75</v>
      </c>
      <c r="L72">
        <v>1.805E-2</v>
      </c>
      <c r="M72" t="s">
        <v>562</v>
      </c>
      <c r="N72" s="102">
        <v>2.44</v>
      </c>
      <c r="O72" s="102">
        <v>3.5</v>
      </c>
      <c r="P72" t="s">
        <v>562</v>
      </c>
      <c r="Q72" t="b">
        <v>1</v>
      </c>
      <c r="R72">
        <v>0.75</v>
      </c>
    </row>
    <row r="73" spans="1:18" x14ac:dyDescent="0.3">
      <c r="A73" t="s">
        <v>559</v>
      </c>
      <c r="B73" t="s">
        <v>563</v>
      </c>
      <c r="C73" t="s">
        <v>561</v>
      </c>
      <c r="D73" t="s">
        <v>158</v>
      </c>
      <c r="E73" t="s">
        <v>681</v>
      </c>
      <c r="F73">
        <v>1</v>
      </c>
      <c r="G73" t="s">
        <v>859</v>
      </c>
      <c r="H73" s="101">
        <v>45848</v>
      </c>
      <c r="I73" s="101">
        <v>402133</v>
      </c>
      <c r="J73" t="s">
        <v>562</v>
      </c>
      <c r="K73">
        <v>13.82</v>
      </c>
      <c r="L73">
        <v>1.56E-3</v>
      </c>
      <c r="M73" t="s">
        <v>562</v>
      </c>
      <c r="N73" s="102">
        <v>5.3</v>
      </c>
      <c r="O73" s="102">
        <v>1.75</v>
      </c>
      <c r="P73" t="s">
        <v>562</v>
      </c>
      <c r="Q73" t="b">
        <v>1</v>
      </c>
      <c r="R73">
        <v>0.7</v>
      </c>
    </row>
    <row r="74" spans="1:18" x14ac:dyDescent="0.3">
      <c r="A74" t="s">
        <v>559</v>
      </c>
      <c r="B74" t="s">
        <v>563</v>
      </c>
      <c r="C74" t="s">
        <v>561</v>
      </c>
      <c r="D74" t="s">
        <v>159</v>
      </c>
      <c r="E74" t="s">
        <v>682</v>
      </c>
      <c r="F74">
        <v>1</v>
      </c>
      <c r="G74" t="s">
        <v>860</v>
      </c>
      <c r="H74" s="101">
        <v>45848</v>
      </c>
      <c r="I74" s="101">
        <v>402133</v>
      </c>
      <c r="J74" t="s">
        <v>562</v>
      </c>
      <c r="K74">
        <v>7.43</v>
      </c>
      <c r="L74">
        <v>4.7299999999999998E-3</v>
      </c>
      <c r="M74" t="s">
        <v>562</v>
      </c>
      <c r="N74" s="102">
        <v>3.08</v>
      </c>
      <c r="O74" s="102">
        <v>3.5</v>
      </c>
      <c r="P74" t="s">
        <v>562</v>
      </c>
      <c r="Q74" t="b">
        <v>1</v>
      </c>
      <c r="R74">
        <v>0.75</v>
      </c>
    </row>
    <row r="75" spans="1:18" x14ac:dyDescent="0.3">
      <c r="A75" t="s">
        <v>559</v>
      </c>
      <c r="B75" t="s">
        <v>563</v>
      </c>
      <c r="C75" t="s">
        <v>561</v>
      </c>
      <c r="D75" t="s">
        <v>160</v>
      </c>
      <c r="E75" t="s">
        <v>683</v>
      </c>
      <c r="F75">
        <v>1</v>
      </c>
      <c r="G75" t="s">
        <v>861</v>
      </c>
      <c r="H75" s="101">
        <v>45848</v>
      </c>
      <c r="I75" s="101">
        <v>402133</v>
      </c>
      <c r="J75" t="s">
        <v>562</v>
      </c>
      <c r="K75">
        <v>6.79</v>
      </c>
      <c r="L75">
        <v>8.1999999999999998E-4</v>
      </c>
      <c r="M75" t="s">
        <v>562</v>
      </c>
      <c r="N75" s="102">
        <v>5.67</v>
      </c>
      <c r="O75" s="102">
        <v>1.75</v>
      </c>
      <c r="P75" t="s">
        <v>562</v>
      </c>
      <c r="Q75" t="b">
        <v>1</v>
      </c>
      <c r="R75">
        <v>0.7</v>
      </c>
    </row>
    <row r="76" spans="1:18" x14ac:dyDescent="0.3">
      <c r="A76" t="s">
        <v>559</v>
      </c>
      <c r="B76" t="s">
        <v>563</v>
      </c>
      <c r="C76" t="s">
        <v>561</v>
      </c>
      <c r="D76" t="s">
        <v>161</v>
      </c>
      <c r="E76" t="s">
        <v>684</v>
      </c>
      <c r="F76">
        <v>1</v>
      </c>
      <c r="G76" t="s">
        <v>862</v>
      </c>
      <c r="H76" s="101">
        <v>45848</v>
      </c>
      <c r="I76" s="101">
        <v>402133</v>
      </c>
      <c r="J76" t="s">
        <v>562</v>
      </c>
      <c r="K76">
        <v>10.18</v>
      </c>
      <c r="L76">
        <v>9.7300000000000008E-3</v>
      </c>
      <c r="M76" t="s">
        <v>562</v>
      </c>
      <c r="N76" s="102">
        <v>1.98</v>
      </c>
      <c r="O76" s="102">
        <v>3.5</v>
      </c>
      <c r="P76" t="s">
        <v>562</v>
      </c>
      <c r="Q76" t="b">
        <v>1</v>
      </c>
      <c r="R76">
        <v>0.75</v>
      </c>
    </row>
    <row r="77" spans="1:18" x14ac:dyDescent="0.3">
      <c r="A77" t="s">
        <v>559</v>
      </c>
      <c r="B77" t="s">
        <v>563</v>
      </c>
      <c r="C77" t="s">
        <v>561</v>
      </c>
      <c r="D77" t="s">
        <v>162</v>
      </c>
      <c r="E77" t="s">
        <v>685</v>
      </c>
      <c r="F77">
        <v>1</v>
      </c>
      <c r="G77" t="s">
        <v>863</v>
      </c>
      <c r="H77" s="101">
        <v>45848</v>
      </c>
      <c r="I77" s="101">
        <v>402133</v>
      </c>
      <c r="J77" t="s">
        <v>562</v>
      </c>
      <c r="K77">
        <v>10.15</v>
      </c>
      <c r="L77">
        <v>1.31E-3</v>
      </c>
      <c r="M77" t="s">
        <v>562</v>
      </c>
      <c r="N77" s="102">
        <v>3.29</v>
      </c>
      <c r="O77" s="102">
        <v>1.75</v>
      </c>
      <c r="P77" t="s">
        <v>562</v>
      </c>
      <c r="Q77" t="b">
        <v>1</v>
      </c>
      <c r="R77">
        <v>0.7</v>
      </c>
    </row>
    <row r="78" spans="1:18" x14ac:dyDescent="0.3">
      <c r="A78" t="s">
        <v>559</v>
      </c>
      <c r="B78" t="s">
        <v>563</v>
      </c>
      <c r="C78" t="s">
        <v>561</v>
      </c>
      <c r="D78" t="s">
        <v>163</v>
      </c>
      <c r="E78" t="s">
        <v>686</v>
      </c>
      <c r="F78">
        <v>1</v>
      </c>
      <c r="G78" t="s">
        <v>864</v>
      </c>
      <c r="H78" s="101">
        <v>45848</v>
      </c>
      <c r="I78" s="101">
        <v>402133</v>
      </c>
      <c r="J78" t="s">
        <v>562</v>
      </c>
      <c r="K78">
        <v>6.53</v>
      </c>
      <c r="L78">
        <v>3.7299999999999998E-3</v>
      </c>
      <c r="M78" t="s">
        <v>562</v>
      </c>
      <c r="N78" s="102">
        <v>1.19</v>
      </c>
      <c r="O78" s="102">
        <v>3.5</v>
      </c>
      <c r="P78" t="s">
        <v>562</v>
      </c>
      <c r="Q78" t="b">
        <v>1</v>
      </c>
      <c r="R78">
        <v>0.75</v>
      </c>
    </row>
    <row r="79" spans="1:18" x14ac:dyDescent="0.3">
      <c r="A79" t="s">
        <v>559</v>
      </c>
      <c r="B79" t="s">
        <v>563</v>
      </c>
      <c r="C79" t="s">
        <v>561</v>
      </c>
      <c r="D79" t="s">
        <v>164</v>
      </c>
      <c r="E79" t="s">
        <v>687</v>
      </c>
      <c r="F79">
        <v>1</v>
      </c>
      <c r="G79" t="s">
        <v>865</v>
      </c>
      <c r="H79" s="101">
        <v>45848</v>
      </c>
      <c r="I79" s="101">
        <v>402133</v>
      </c>
      <c r="J79" t="s">
        <v>562</v>
      </c>
      <c r="K79">
        <v>6.36</v>
      </c>
      <c r="L79">
        <v>8.0999999999999996E-4</v>
      </c>
      <c r="M79" t="s">
        <v>562</v>
      </c>
      <c r="N79" s="102">
        <v>3.55</v>
      </c>
      <c r="O79" s="102">
        <v>1.75</v>
      </c>
      <c r="P79" t="s">
        <v>562</v>
      </c>
      <c r="Q79" t="b">
        <v>1</v>
      </c>
      <c r="R79">
        <v>0.7</v>
      </c>
    </row>
    <row r="80" spans="1:18" x14ac:dyDescent="0.3">
      <c r="A80" t="s">
        <v>559</v>
      </c>
      <c r="B80" t="s">
        <v>563</v>
      </c>
      <c r="C80" t="s">
        <v>561</v>
      </c>
      <c r="D80" t="s">
        <v>165</v>
      </c>
      <c r="E80" t="s">
        <v>688</v>
      </c>
      <c r="F80">
        <v>1</v>
      </c>
      <c r="G80" t="s">
        <v>866</v>
      </c>
      <c r="H80" s="101">
        <v>45848</v>
      </c>
      <c r="I80" s="101">
        <v>402133</v>
      </c>
      <c r="J80" t="s">
        <v>562</v>
      </c>
      <c r="K80">
        <v>7.15</v>
      </c>
      <c r="L80">
        <v>4.5900000000000003E-3</v>
      </c>
      <c r="M80" t="s">
        <v>562</v>
      </c>
      <c r="N80" s="102">
        <v>2.0099999999999998</v>
      </c>
      <c r="O80" s="102">
        <v>3.5</v>
      </c>
      <c r="P80" t="s">
        <v>562</v>
      </c>
      <c r="Q80" t="b">
        <v>1</v>
      </c>
      <c r="R80">
        <v>0.75</v>
      </c>
    </row>
    <row r="81" spans="1:18" x14ac:dyDescent="0.3">
      <c r="A81" t="s">
        <v>559</v>
      </c>
      <c r="B81" t="s">
        <v>563</v>
      </c>
      <c r="C81" t="s">
        <v>561</v>
      </c>
      <c r="D81" t="s">
        <v>166</v>
      </c>
      <c r="E81" t="s">
        <v>689</v>
      </c>
      <c r="F81">
        <v>1</v>
      </c>
      <c r="G81" t="s">
        <v>867</v>
      </c>
      <c r="H81" s="101">
        <v>45848</v>
      </c>
      <c r="I81" s="101">
        <v>402133</v>
      </c>
      <c r="J81" t="s">
        <v>562</v>
      </c>
      <c r="K81">
        <v>6.64</v>
      </c>
      <c r="L81">
        <v>8.4000000000000003E-4</v>
      </c>
      <c r="M81" t="s">
        <v>562</v>
      </c>
      <c r="N81" s="102">
        <v>3.49</v>
      </c>
      <c r="O81" s="102">
        <v>1.75</v>
      </c>
      <c r="P81" t="s">
        <v>562</v>
      </c>
      <c r="Q81" t="b">
        <v>1</v>
      </c>
      <c r="R81">
        <v>0.7</v>
      </c>
    </row>
    <row r="82" spans="1:18" x14ac:dyDescent="0.3">
      <c r="A82" t="s">
        <v>559</v>
      </c>
      <c r="B82" t="s">
        <v>563</v>
      </c>
      <c r="C82" t="s">
        <v>561</v>
      </c>
      <c r="D82" t="s">
        <v>167</v>
      </c>
      <c r="E82" t="s">
        <v>690</v>
      </c>
      <c r="F82">
        <v>1</v>
      </c>
      <c r="G82" t="s">
        <v>868</v>
      </c>
      <c r="H82" s="101">
        <v>45848</v>
      </c>
      <c r="I82" s="101">
        <v>402133</v>
      </c>
      <c r="J82" t="s">
        <v>562</v>
      </c>
      <c r="K82">
        <v>9.07</v>
      </c>
      <c r="L82">
        <v>4.8799999999999998E-3</v>
      </c>
      <c r="M82" t="s">
        <v>562</v>
      </c>
      <c r="N82" s="102">
        <v>3.99</v>
      </c>
      <c r="O82" s="102">
        <v>3.5</v>
      </c>
      <c r="P82" t="s">
        <v>562</v>
      </c>
      <c r="Q82" t="b">
        <v>1</v>
      </c>
      <c r="R82">
        <v>0.75</v>
      </c>
    </row>
    <row r="83" spans="1:18" x14ac:dyDescent="0.3">
      <c r="A83" t="s">
        <v>559</v>
      </c>
      <c r="B83" t="s">
        <v>563</v>
      </c>
      <c r="C83" t="s">
        <v>561</v>
      </c>
      <c r="D83" t="s">
        <v>168</v>
      </c>
      <c r="E83" t="s">
        <v>691</v>
      </c>
      <c r="F83">
        <v>1</v>
      </c>
      <c r="G83" t="s">
        <v>869</v>
      </c>
      <c r="H83" s="101">
        <v>45848</v>
      </c>
      <c r="I83" s="101">
        <v>402133</v>
      </c>
      <c r="J83" t="s">
        <v>562</v>
      </c>
      <c r="K83">
        <v>10.89</v>
      </c>
      <c r="L83">
        <v>1.09E-3</v>
      </c>
      <c r="M83" t="s">
        <v>562</v>
      </c>
      <c r="N83" s="102">
        <v>6.12</v>
      </c>
      <c r="O83" s="102">
        <v>1.75</v>
      </c>
      <c r="P83" t="s">
        <v>562</v>
      </c>
      <c r="Q83" t="b">
        <v>1</v>
      </c>
      <c r="R83">
        <v>0.7</v>
      </c>
    </row>
    <row r="84" spans="1:18" x14ac:dyDescent="0.3">
      <c r="A84" t="s">
        <v>559</v>
      </c>
      <c r="B84" t="s">
        <v>563</v>
      </c>
      <c r="C84" t="s">
        <v>561</v>
      </c>
      <c r="D84" t="s">
        <v>169</v>
      </c>
      <c r="E84" t="s">
        <v>692</v>
      </c>
      <c r="F84">
        <v>1</v>
      </c>
      <c r="G84" t="s">
        <v>870</v>
      </c>
      <c r="H84" s="101">
        <v>45848</v>
      </c>
      <c r="I84" s="101">
        <v>402133</v>
      </c>
      <c r="J84" t="s">
        <v>562</v>
      </c>
      <c r="K84">
        <v>6.86</v>
      </c>
      <c r="L84">
        <v>3.3899999999999998E-3</v>
      </c>
      <c r="M84" t="s">
        <v>562</v>
      </c>
      <c r="N84" s="102">
        <v>2.21</v>
      </c>
      <c r="O84" s="102">
        <v>3.5</v>
      </c>
      <c r="P84" t="s">
        <v>562</v>
      </c>
      <c r="Q84" t="b">
        <v>1</v>
      </c>
      <c r="R84">
        <v>0.75</v>
      </c>
    </row>
    <row r="85" spans="1:18" x14ac:dyDescent="0.3">
      <c r="A85" t="s">
        <v>559</v>
      </c>
      <c r="B85" t="s">
        <v>563</v>
      </c>
      <c r="C85" t="s">
        <v>561</v>
      </c>
      <c r="D85" t="s">
        <v>170</v>
      </c>
      <c r="E85" t="s">
        <v>693</v>
      </c>
      <c r="F85">
        <v>1</v>
      </c>
      <c r="G85" t="s">
        <v>871</v>
      </c>
      <c r="H85" s="101">
        <v>45848</v>
      </c>
      <c r="I85" s="101">
        <v>402133</v>
      </c>
      <c r="J85" t="s">
        <v>562</v>
      </c>
      <c r="K85">
        <v>6.89</v>
      </c>
      <c r="L85">
        <v>6.8999999999999997E-4</v>
      </c>
      <c r="M85" t="s">
        <v>562</v>
      </c>
      <c r="N85" s="102">
        <v>3.93</v>
      </c>
      <c r="O85" s="102">
        <v>1.75</v>
      </c>
      <c r="P85" t="s">
        <v>562</v>
      </c>
      <c r="Q85" t="b">
        <v>1</v>
      </c>
      <c r="R85">
        <v>0.7</v>
      </c>
    </row>
    <row r="86" spans="1:18" x14ac:dyDescent="0.3">
      <c r="A86" t="s">
        <v>559</v>
      </c>
      <c r="B86" t="s">
        <v>563</v>
      </c>
      <c r="C86" t="s">
        <v>561</v>
      </c>
      <c r="D86" t="s">
        <v>171</v>
      </c>
      <c r="E86" t="s">
        <v>694</v>
      </c>
      <c r="F86">
        <v>1</v>
      </c>
      <c r="G86" t="s">
        <v>872</v>
      </c>
      <c r="H86" s="101">
        <v>45848</v>
      </c>
      <c r="I86" s="101">
        <v>402133</v>
      </c>
      <c r="J86" t="s">
        <v>562</v>
      </c>
      <c r="K86">
        <v>11.02</v>
      </c>
      <c r="L86">
        <v>7.2100000000000003E-3</v>
      </c>
      <c r="M86" t="s">
        <v>562</v>
      </c>
      <c r="N86" s="102">
        <v>4.45</v>
      </c>
      <c r="O86" s="102">
        <v>3.5</v>
      </c>
      <c r="P86" t="s">
        <v>562</v>
      </c>
      <c r="Q86" t="b">
        <v>1</v>
      </c>
      <c r="R86">
        <v>0.75</v>
      </c>
    </row>
    <row r="87" spans="1:18" x14ac:dyDescent="0.3">
      <c r="A87" t="s">
        <v>559</v>
      </c>
      <c r="B87" t="s">
        <v>563</v>
      </c>
      <c r="C87" t="s">
        <v>561</v>
      </c>
      <c r="D87" t="s">
        <v>172</v>
      </c>
      <c r="E87" t="s">
        <v>695</v>
      </c>
      <c r="F87">
        <v>1</v>
      </c>
      <c r="G87" t="s">
        <v>873</v>
      </c>
      <c r="H87" s="101">
        <v>45848</v>
      </c>
      <c r="I87" s="101">
        <v>402133</v>
      </c>
      <c r="J87" t="s">
        <v>562</v>
      </c>
      <c r="K87">
        <v>12.1</v>
      </c>
      <c r="L87">
        <v>1.2099999999999999E-3</v>
      </c>
      <c r="M87" t="s">
        <v>562</v>
      </c>
      <c r="N87" s="102">
        <v>7.93</v>
      </c>
      <c r="O87" s="102">
        <v>1.75</v>
      </c>
      <c r="P87" t="s">
        <v>562</v>
      </c>
      <c r="Q87" t="b">
        <v>1</v>
      </c>
      <c r="R87">
        <v>0.7</v>
      </c>
    </row>
    <row r="88" spans="1:18" x14ac:dyDescent="0.3">
      <c r="A88" t="s">
        <v>559</v>
      </c>
      <c r="B88" t="s">
        <v>563</v>
      </c>
      <c r="C88" t="s">
        <v>561</v>
      </c>
      <c r="D88" t="s">
        <v>173</v>
      </c>
      <c r="E88" t="s">
        <v>696</v>
      </c>
      <c r="F88">
        <v>1</v>
      </c>
      <c r="G88" t="s">
        <v>874</v>
      </c>
      <c r="H88" s="101">
        <v>45848</v>
      </c>
      <c r="I88" s="101">
        <v>402133</v>
      </c>
      <c r="J88" t="s">
        <v>562</v>
      </c>
      <c r="K88">
        <v>11.4</v>
      </c>
      <c r="L88">
        <v>9.1299999999999992E-3</v>
      </c>
      <c r="M88" t="s">
        <v>562</v>
      </c>
      <c r="N88" s="102">
        <v>3.49</v>
      </c>
      <c r="O88" s="102">
        <v>3.5</v>
      </c>
      <c r="P88" t="s">
        <v>562</v>
      </c>
      <c r="Q88" t="b">
        <v>1</v>
      </c>
      <c r="R88">
        <v>0.75</v>
      </c>
    </row>
    <row r="89" spans="1:18" x14ac:dyDescent="0.3">
      <c r="A89" t="s">
        <v>559</v>
      </c>
      <c r="B89" t="s">
        <v>563</v>
      </c>
      <c r="C89" t="s">
        <v>561</v>
      </c>
      <c r="D89" t="s">
        <v>174</v>
      </c>
      <c r="E89" t="s">
        <v>697</v>
      </c>
      <c r="F89">
        <v>1</v>
      </c>
      <c r="G89" t="s">
        <v>875</v>
      </c>
      <c r="H89" s="101">
        <v>45848</v>
      </c>
      <c r="I89" s="101">
        <v>402133</v>
      </c>
      <c r="J89" t="s">
        <v>562</v>
      </c>
      <c r="K89">
        <v>9.8699999999999992</v>
      </c>
      <c r="L89">
        <v>9.8999999999999999E-4</v>
      </c>
      <c r="M89" t="s">
        <v>562</v>
      </c>
      <c r="N89" s="102">
        <v>18.14</v>
      </c>
      <c r="O89" s="102">
        <v>1.75</v>
      </c>
      <c r="P89" t="s">
        <v>562</v>
      </c>
      <c r="Q89" t="b">
        <v>1</v>
      </c>
      <c r="R89">
        <v>0.7</v>
      </c>
    </row>
    <row r="90" spans="1:18" x14ac:dyDescent="0.3">
      <c r="A90" t="s">
        <v>559</v>
      </c>
      <c r="B90" t="s">
        <v>563</v>
      </c>
      <c r="C90" t="s">
        <v>561</v>
      </c>
      <c r="D90" t="s">
        <v>175</v>
      </c>
      <c r="E90" t="s">
        <v>698</v>
      </c>
      <c r="F90">
        <v>1</v>
      </c>
      <c r="G90" t="s">
        <v>876</v>
      </c>
      <c r="H90" s="101">
        <v>45848</v>
      </c>
      <c r="I90" s="101">
        <v>402133</v>
      </c>
      <c r="J90" t="s">
        <v>562</v>
      </c>
      <c r="K90">
        <v>5</v>
      </c>
      <c r="L90">
        <v>9.3000000000000005E-4</v>
      </c>
      <c r="M90" t="s">
        <v>562</v>
      </c>
      <c r="N90" s="102">
        <v>3.63</v>
      </c>
      <c r="O90" s="102">
        <v>3.5</v>
      </c>
      <c r="P90" t="s">
        <v>562</v>
      </c>
      <c r="Q90" t="b">
        <v>1</v>
      </c>
      <c r="R90">
        <v>0.75</v>
      </c>
    </row>
    <row r="91" spans="1:18" x14ac:dyDescent="0.3">
      <c r="A91" t="s">
        <v>559</v>
      </c>
      <c r="B91" t="s">
        <v>563</v>
      </c>
      <c r="C91" t="s">
        <v>561</v>
      </c>
      <c r="D91" t="s">
        <v>176</v>
      </c>
      <c r="E91" t="s">
        <v>699</v>
      </c>
      <c r="F91">
        <v>1</v>
      </c>
      <c r="G91" t="s">
        <v>877</v>
      </c>
      <c r="H91" s="101">
        <v>45848</v>
      </c>
      <c r="I91" s="101">
        <v>402133</v>
      </c>
      <c r="J91" t="s">
        <v>562</v>
      </c>
      <c r="K91">
        <v>4.47</v>
      </c>
      <c r="L91">
        <v>2.3000000000000001E-4</v>
      </c>
      <c r="M91" t="s">
        <v>562</v>
      </c>
      <c r="N91" s="102">
        <v>8.6</v>
      </c>
      <c r="O91" s="102">
        <v>1.75</v>
      </c>
      <c r="P91" t="s">
        <v>562</v>
      </c>
      <c r="Q91" t="b">
        <v>1</v>
      </c>
      <c r="R91">
        <v>0.7</v>
      </c>
    </row>
    <row r="92" spans="1:18" x14ac:dyDescent="0.3">
      <c r="A92" t="s">
        <v>559</v>
      </c>
      <c r="B92" t="s">
        <v>563</v>
      </c>
      <c r="C92" t="s">
        <v>561</v>
      </c>
      <c r="D92" t="s">
        <v>177</v>
      </c>
      <c r="E92" t="s">
        <v>700</v>
      </c>
      <c r="F92">
        <v>1</v>
      </c>
      <c r="G92" t="s">
        <v>878</v>
      </c>
      <c r="H92" s="101">
        <v>45848</v>
      </c>
      <c r="I92" s="101">
        <v>402133</v>
      </c>
      <c r="J92" t="s">
        <v>562</v>
      </c>
      <c r="K92">
        <v>7.98</v>
      </c>
      <c r="L92">
        <v>7.28E-3</v>
      </c>
      <c r="M92" t="s">
        <v>562</v>
      </c>
      <c r="N92" s="102">
        <v>2.0699999999999998</v>
      </c>
      <c r="O92" s="102">
        <v>3.5</v>
      </c>
      <c r="P92" t="s">
        <v>562</v>
      </c>
      <c r="Q92" t="b">
        <v>1</v>
      </c>
      <c r="R92">
        <v>0.75</v>
      </c>
    </row>
    <row r="93" spans="1:18" x14ac:dyDescent="0.3">
      <c r="A93" t="s">
        <v>559</v>
      </c>
      <c r="B93" t="s">
        <v>563</v>
      </c>
      <c r="C93" t="s">
        <v>561</v>
      </c>
      <c r="D93" t="s">
        <v>178</v>
      </c>
      <c r="E93" t="s">
        <v>701</v>
      </c>
      <c r="F93">
        <v>1</v>
      </c>
      <c r="G93" t="s">
        <v>879</v>
      </c>
      <c r="H93" s="101">
        <v>45848</v>
      </c>
      <c r="I93" s="101">
        <v>402133</v>
      </c>
      <c r="J93" t="s">
        <v>562</v>
      </c>
      <c r="K93">
        <v>7.06</v>
      </c>
      <c r="L93">
        <v>1.0499999999999999E-3</v>
      </c>
      <c r="M93" t="s">
        <v>562</v>
      </c>
      <c r="N93" s="102">
        <v>3.94</v>
      </c>
      <c r="O93" s="102">
        <v>1.75</v>
      </c>
      <c r="P93" t="s">
        <v>562</v>
      </c>
      <c r="Q93" t="b">
        <v>1</v>
      </c>
      <c r="R93">
        <v>0.7</v>
      </c>
    </row>
    <row r="94" spans="1:18" x14ac:dyDescent="0.3">
      <c r="A94" t="s">
        <v>559</v>
      </c>
      <c r="B94" t="s">
        <v>563</v>
      </c>
      <c r="C94" t="s">
        <v>561</v>
      </c>
      <c r="D94" t="s">
        <v>179</v>
      </c>
      <c r="E94" t="s">
        <v>702</v>
      </c>
      <c r="F94">
        <v>1</v>
      </c>
      <c r="G94" t="s">
        <v>880</v>
      </c>
      <c r="H94" s="101">
        <v>45848</v>
      </c>
      <c r="I94" s="101">
        <v>402133</v>
      </c>
      <c r="J94" t="s">
        <v>562</v>
      </c>
      <c r="K94">
        <v>11.28</v>
      </c>
      <c r="L94">
        <v>1.235E-2</v>
      </c>
      <c r="M94" t="s">
        <v>562</v>
      </c>
      <c r="N94" s="102">
        <v>2.4700000000000002</v>
      </c>
      <c r="O94" s="102">
        <v>2.5</v>
      </c>
      <c r="P94" t="s">
        <v>562</v>
      </c>
      <c r="Q94" t="b">
        <v>1</v>
      </c>
      <c r="R94">
        <v>0.75</v>
      </c>
    </row>
    <row r="95" spans="1:18" x14ac:dyDescent="0.3">
      <c r="A95" t="s">
        <v>559</v>
      </c>
      <c r="B95" t="s">
        <v>563</v>
      </c>
      <c r="C95" t="s">
        <v>561</v>
      </c>
      <c r="D95" t="s">
        <v>180</v>
      </c>
      <c r="E95" t="s">
        <v>703</v>
      </c>
      <c r="F95">
        <v>1</v>
      </c>
      <c r="G95" t="s">
        <v>881</v>
      </c>
      <c r="H95" s="101">
        <v>45848</v>
      </c>
      <c r="I95" s="101">
        <v>402133</v>
      </c>
      <c r="J95" t="s">
        <v>562</v>
      </c>
      <c r="K95">
        <v>7.54</v>
      </c>
      <c r="L95">
        <v>8.4999999999999995E-4</v>
      </c>
      <c r="M95" t="s">
        <v>562</v>
      </c>
      <c r="N95" s="102">
        <v>4.32</v>
      </c>
      <c r="O95" s="102">
        <v>1.25</v>
      </c>
      <c r="P95" t="s">
        <v>562</v>
      </c>
      <c r="Q95" t="b">
        <v>1</v>
      </c>
      <c r="R95">
        <v>0.7</v>
      </c>
    </row>
    <row r="96" spans="1:18" x14ac:dyDescent="0.3">
      <c r="A96" t="s">
        <v>559</v>
      </c>
      <c r="B96" t="s">
        <v>563</v>
      </c>
      <c r="C96" t="s">
        <v>561</v>
      </c>
      <c r="D96" t="s">
        <v>181</v>
      </c>
      <c r="E96" t="s">
        <v>704</v>
      </c>
      <c r="F96">
        <v>1</v>
      </c>
      <c r="G96" t="s">
        <v>882</v>
      </c>
      <c r="H96" s="101">
        <v>45848</v>
      </c>
      <c r="I96" s="101">
        <v>402133</v>
      </c>
      <c r="J96" t="s">
        <v>562</v>
      </c>
      <c r="K96">
        <v>6.56</v>
      </c>
      <c r="L96">
        <v>3.8800000000000002E-3</v>
      </c>
      <c r="M96" t="s">
        <v>562</v>
      </c>
      <c r="N96" s="102">
        <v>2.93</v>
      </c>
      <c r="O96" s="102">
        <v>2.5</v>
      </c>
      <c r="P96" t="s">
        <v>562</v>
      </c>
      <c r="Q96" t="b">
        <v>1</v>
      </c>
      <c r="R96">
        <v>0.75</v>
      </c>
    </row>
    <row r="97" spans="1:18" x14ac:dyDescent="0.3">
      <c r="A97" t="s">
        <v>559</v>
      </c>
      <c r="B97" t="s">
        <v>563</v>
      </c>
      <c r="C97" t="s">
        <v>561</v>
      </c>
      <c r="D97" t="s">
        <v>182</v>
      </c>
      <c r="E97" t="s">
        <v>705</v>
      </c>
      <c r="F97">
        <v>1</v>
      </c>
      <c r="G97" t="s">
        <v>883</v>
      </c>
      <c r="H97" s="101">
        <v>45848</v>
      </c>
      <c r="I97" s="101">
        <v>402133</v>
      </c>
      <c r="J97" t="s">
        <v>562</v>
      </c>
      <c r="K97">
        <v>6.75</v>
      </c>
      <c r="L97">
        <v>7.6000000000000004E-4</v>
      </c>
      <c r="M97" t="s">
        <v>562</v>
      </c>
      <c r="N97" s="102">
        <v>3.26</v>
      </c>
      <c r="O97" s="102">
        <v>1.25</v>
      </c>
      <c r="P97" t="s">
        <v>562</v>
      </c>
      <c r="Q97" t="b">
        <v>1</v>
      </c>
      <c r="R97">
        <v>0.7</v>
      </c>
    </row>
    <row r="98" spans="1:18" x14ac:dyDescent="0.3">
      <c r="A98" t="s">
        <v>559</v>
      </c>
      <c r="B98" t="s">
        <v>563</v>
      </c>
      <c r="C98" t="s">
        <v>561</v>
      </c>
      <c r="D98" t="s">
        <v>183</v>
      </c>
      <c r="E98" t="s">
        <v>706</v>
      </c>
      <c r="F98">
        <v>1</v>
      </c>
      <c r="G98" t="s">
        <v>884</v>
      </c>
      <c r="H98" s="101">
        <v>45848</v>
      </c>
      <c r="I98" s="101">
        <v>402133</v>
      </c>
      <c r="J98" t="s">
        <v>562</v>
      </c>
      <c r="K98">
        <v>16.13</v>
      </c>
      <c r="L98">
        <v>1.2449999999999999E-2</v>
      </c>
      <c r="M98" t="s">
        <v>562</v>
      </c>
      <c r="N98" s="102">
        <v>32.29</v>
      </c>
      <c r="O98" s="102">
        <v>2.5</v>
      </c>
      <c r="P98" t="s">
        <v>562</v>
      </c>
      <c r="Q98" t="b">
        <v>1</v>
      </c>
      <c r="R98">
        <v>0.75</v>
      </c>
    </row>
    <row r="99" spans="1:18" x14ac:dyDescent="0.3">
      <c r="A99" t="s">
        <v>559</v>
      </c>
      <c r="B99" t="s">
        <v>563</v>
      </c>
      <c r="C99" t="s">
        <v>561</v>
      </c>
      <c r="D99" t="s">
        <v>184</v>
      </c>
      <c r="E99" t="s">
        <v>707</v>
      </c>
      <c r="F99">
        <v>1</v>
      </c>
      <c r="G99" t="s">
        <v>885</v>
      </c>
      <c r="H99" s="101">
        <v>45848</v>
      </c>
      <c r="I99" s="101">
        <v>402133</v>
      </c>
      <c r="J99" t="s">
        <v>562</v>
      </c>
      <c r="K99">
        <v>3.43</v>
      </c>
      <c r="L99">
        <v>1.7000000000000001E-4</v>
      </c>
      <c r="M99" t="s">
        <v>562</v>
      </c>
      <c r="N99" s="102">
        <v>3.31</v>
      </c>
      <c r="O99" s="102">
        <v>1.25</v>
      </c>
      <c r="P99" t="s">
        <v>562</v>
      </c>
      <c r="Q99" t="b">
        <v>1</v>
      </c>
      <c r="R99">
        <v>0.7</v>
      </c>
    </row>
    <row r="100" spans="1:18" x14ac:dyDescent="0.3">
      <c r="A100" t="s">
        <v>559</v>
      </c>
      <c r="B100" t="s">
        <v>563</v>
      </c>
      <c r="C100" t="s">
        <v>561</v>
      </c>
      <c r="D100" t="s">
        <v>185</v>
      </c>
      <c r="E100" t="s">
        <v>708</v>
      </c>
      <c r="F100">
        <v>1</v>
      </c>
      <c r="G100" t="s">
        <v>886</v>
      </c>
      <c r="H100" s="101">
        <v>45848</v>
      </c>
      <c r="I100" s="101">
        <v>402133</v>
      </c>
      <c r="J100" t="s">
        <v>562</v>
      </c>
      <c r="K100">
        <v>8.76</v>
      </c>
      <c r="L100">
        <v>1.06E-3</v>
      </c>
      <c r="M100" t="s">
        <v>562</v>
      </c>
      <c r="N100" s="102">
        <v>1.86</v>
      </c>
      <c r="O100" s="102">
        <v>1.25</v>
      </c>
      <c r="P100" t="s">
        <v>562</v>
      </c>
      <c r="Q100" t="b">
        <v>1</v>
      </c>
      <c r="R100">
        <v>0.7</v>
      </c>
    </row>
    <row r="101" spans="1:18" x14ac:dyDescent="0.3">
      <c r="A101" t="s">
        <v>559</v>
      </c>
      <c r="B101" t="s">
        <v>563</v>
      </c>
      <c r="C101" t="s">
        <v>561</v>
      </c>
      <c r="D101" t="s">
        <v>186</v>
      </c>
      <c r="E101" t="s">
        <v>709</v>
      </c>
      <c r="F101">
        <v>1</v>
      </c>
      <c r="G101" t="s">
        <v>887</v>
      </c>
      <c r="H101" s="101">
        <v>45848</v>
      </c>
      <c r="I101" s="101">
        <v>402133</v>
      </c>
      <c r="J101" t="s">
        <v>562</v>
      </c>
      <c r="K101">
        <v>11.08</v>
      </c>
      <c r="L101">
        <v>1.108E-2</v>
      </c>
      <c r="M101" t="s">
        <v>562</v>
      </c>
      <c r="N101" s="102">
        <v>5.42</v>
      </c>
      <c r="O101" s="102">
        <v>2.5</v>
      </c>
      <c r="P101" t="s">
        <v>562</v>
      </c>
      <c r="Q101" t="b">
        <v>1</v>
      </c>
      <c r="R101">
        <v>0.75</v>
      </c>
    </row>
    <row r="102" spans="1:18" x14ac:dyDescent="0.3">
      <c r="A102" t="s">
        <v>559</v>
      </c>
      <c r="B102" t="s">
        <v>563</v>
      </c>
      <c r="C102" t="s">
        <v>561</v>
      </c>
      <c r="D102" t="s">
        <v>187</v>
      </c>
      <c r="E102" t="s">
        <v>710</v>
      </c>
      <c r="F102">
        <v>1</v>
      </c>
      <c r="G102" t="s">
        <v>888</v>
      </c>
      <c r="H102" s="101">
        <v>45848</v>
      </c>
      <c r="I102" s="101">
        <v>402133</v>
      </c>
      <c r="J102" t="s">
        <v>562</v>
      </c>
      <c r="K102">
        <v>10.14</v>
      </c>
      <c r="L102">
        <v>1.14E-3</v>
      </c>
      <c r="M102" t="s">
        <v>562</v>
      </c>
      <c r="N102" s="102">
        <v>4.37</v>
      </c>
      <c r="O102" s="102">
        <v>1.25</v>
      </c>
      <c r="P102" t="s">
        <v>562</v>
      </c>
      <c r="Q102" t="b">
        <v>1</v>
      </c>
      <c r="R102">
        <v>0.7</v>
      </c>
    </row>
    <row r="103" spans="1:18" x14ac:dyDescent="0.3">
      <c r="A103" t="s">
        <v>559</v>
      </c>
      <c r="B103" t="s">
        <v>563</v>
      </c>
      <c r="C103" t="s">
        <v>561</v>
      </c>
      <c r="D103" t="s">
        <v>188</v>
      </c>
      <c r="E103" t="s">
        <v>711</v>
      </c>
      <c r="F103">
        <v>1</v>
      </c>
      <c r="G103" t="s">
        <v>889</v>
      </c>
      <c r="H103" s="101">
        <v>45848</v>
      </c>
      <c r="I103" s="101">
        <v>402133</v>
      </c>
      <c r="J103" t="s">
        <v>562</v>
      </c>
      <c r="K103">
        <v>23.31</v>
      </c>
      <c r="L103">
        <v>5.706E-2</v>
      </c>
      <c r="M103" t="s">
        <v>562</v>
      </c>
      <c r="N103" s="102">
        <v>4.38</v>
      </c>
      <c r="O103" s="102">
        <v>2.5</v>
      </c>
      <c r="P103" t="s">
        <v>562</v>
      </c>
      <c r="Q103" t="b">
        <v>1</v>
      </c>
      <c r="R103">
        <v>0.75</v>
      </c>
    </row>
    <row r="104" spans="1:18" x14ac:dyDescent="0.3">
      <c r="A104" t="s">
        <v>559</v>
      </c>
      <c r="B104" t="s">
        <v>563</v>
      </c>
      <c r="C104" t="s">
        <v>561</v>
      </c>
      <c r="D104" t="s">
        <v>189</v>
      </c>
      <c r="E104" t="s">
        <v>712</v>
      </c>
      <c r="F104">
        <v>1</v>
      </c>
      <c r="G104" t="s">
        <v>890</v>
      </c>
      <c r="H104" s="101">
        <v>45848</v>
      </c>
      <c r="I104" s="101">
        <v>402133</v>
      </c>
      <c r="J104" t="s">
        <v>562</v>
      </c>
      <c r="K104">
        <v>7.55</v>
      </c>
      <c r="L104">
        <v>8.4999999999999995E-4</v>
      </c>
      <c r="M104" t="s">
        <v>562</v>
      </c>
      <c r="N104" s="102">
        <v>11.32</v>
      </c>
      <c r="O104" s="102">
        <v>1.25</v>
      </c>
      <c r="P104" t="s">
        <v>562</v>
      </c>
      <c r="Q104" t="b">
        <v>1</v>
      </c>
      <c r="R104">
        <v>0.7</v>
      </c>
    </row>
    <row r="105" spans="1:18" x14ac:dyDescent="0.3">
      <c r="A105" t="s">
        <v>559</v>
      </c>
      <c r="B105" t="s">
        <v>563</v>
      </c>
      <c r="C105" t="s">
        <v>561</v>
      </c>
      <c r="D105" t="s">
        <v>190</v>
      </c>
      <c r="E105" t="s">
        <v>713</v>
      </c>
      <c r="F105">
        <v>1</v>
      </c>
      <c r="G105" t="s">
        <v>891</v>
      </c>
      <c r="H105" s="101">
        <v>45848</v>
      </c>
      <c r="I105" s="101">
        <v>402133</v>
      </c>
      <c r="J105" t="s">
        <v>562</v>
      </c>
      <c r="K105">
        <v>8.52</v>
      </c>
      <c r="L105">
        <v>5.9800000000000001E-3</v>
      </c>
      <c r="M105" t="s">
        <v>562</v>
      </c>
      <c r="N105" s="102">
        <v>9.07</v>
      </c>
      <c r="O105" s="102">
        <v>2.5</v>
      </c>
      <c r="P105" t="s">
        <v>562</v>
      </c>
      <c r="Q105" t="b">
        <v>1</v>
      </c>
      <c r="R105">
        <v>0.75</v>
      </c>
    </row>
    <row r="106" spans="1:18" x14ac:dyDescent="0.3">
      <c r="A106" t="s">
        <v>559</v>
      </c>
      <c r="B106" t="s">
        <v>563</v>
      </c>
      <c r="C106" t="s">
        <v>561</v>
      </c>
      <c r="D106" t="s">
        <v>191</v>
      </c>
      <c r="E106" t="s">
        <v>714</v>
      </c>
      <c r="F106">
        <v>1</v>
      </c>
      <c r="G106" t="s">
        <v>892</v>
      </c>
      <c r="H106" s="101">
        <v>45848</v>
      </c>
      <c r="I106" s="101">
        <v>402133</v>
      </c>
      <c r="J106" t="s">
        <v>562</v>
      </c>
      <c r="K106">
        <v>8.52</v>
      </c>
      <c r="L106">
        <v>9.3000000000000005E-4</v>
      </c>
      <c r="M106" t="s">
        <v>562</v>
      </c>
      <c r="N106" s="102">
        <v>11.13</v>
      </c>
      <c r="O106" s="102">
        <v>1.25</v>
      </c>
      <c r="P106" t="s">
        <v>562</v>
      </c>
      <c r="Q106" t="b">
        <v>1</v>
      </c>
      <c r="R106">
        <v>0.7</v>
      </c>
    </row>
    <row r="107" spans="1:18" x14ac:dyDescent="0.3">
      <c r="A107" t="s">
        <v>559</v>
      </c>
      <c r="B107" t="s">
        <v>563</v>
      </c>
      <c r="C107" t="s">
        <v>561</v>
      </c>
      <c r="D107" t="s">
        <v>192</v>
      </c>
      <c r="E107" t="s">
        <v>715</v>
      </c>
      <c r="F107">
        <v>1</v>
      </c>
      <c r="G107" t="s">
        <v>893</v>
      </c>
      <c r="H107" s="101">
        <v>45848</v>
      </c>
      <c r="I107" s="101">
        <v>402133</v>
      </c>
      <c r="J107" t="s">
        <v>562</v>
      </c>
      <c r="K107">
        <v>10.73</v>
      </c>
      <c r="L107">
        <v>1.03E-2</v>
      </c>
      <c r="M107" t="s">
        <v>562</v>
      </c>
      <c r="N107" s="102">
        <v>2.21</v>
      </c>
      <c r="O107" s="102">
        <v>2.5</v>
      </c>
      <c r="P107" t="s">
        <v>562</v>
      </c>
      <c r="Q107" t="b">
        <v>1</v>
      </c>
      <c r="R107">
        <v>0.75</v>
      </c>
    </row>
    <row r="108" spans="1:18" x14ac:dyDescent="0.3">
      <c r="A108" t="s">
        <v>559</v>
      </c>
      <c r="B108" t="s">
        <v>563</v>
      </c>
      <c r="C108" t="s">
        <v>561</v>
      </c>
      <c r="D108" t="s">
        <v>193</v>
      </c>
      <c r="E108" t="s">
        <v>716</v>
      </c>
      <c r="F108">
        <v>1</v>
      </c>
      <c r="G108" t="s">
        <v>894</v>
      </c>
      <c r="H108" s="101">
        <v>45848</v>
      </c>
      <c r="I108" s="101">
        <v>402133</v>
      </c>
      <c r="J108" t="s">
        <v>562</v>
      </c>
      <c r="K108">
        <v>10.14</v>
      </c>
      <c r="L108">
        <v>1.14E-3</v>
      </c>
      <c r="M108" t="s">
        <v>562</v>
      </c>
      <c r="N108" s="102">
        <v>2.76</v>
      </c>
      <c r="O108" s="102">
        <v>1.25</v>
      </c>
      <c r="P108" t="s">
        <v>562</v>
      </c>
      <c r="Q108" t="b">
        <v>1</v>
      </c>
      <c r="R108">
        <v>0.7</v>
      </c>
    </row>
    <row r="109" spans="1:18" x14ac:dyDescent="0.3">
      <c r="A109" t="s">
        <v>559</v>
      </c>
      <c r="B109" t="s">
        <v>563</v>
      </c>
      <c r="C109" t="s">
        <v>561</v>
      </c>
      <c r="D109" t="s">
        <v>194</v>
      </c>
      <c r="E109" t="s">
        <v>717</v>
      </c>
      <c r="F109">
        <v>1</v>
      </c>
      <c r="G109" t="s">
        <v>895</v>
      </c>
      <c r="H109" s="101">
        <v>45848</v>
      </c>
      <c r="I109" s="101">
        <v>402133</v>
      </c>
      <c r="J109" t="s">
        <v>562</v>
      </c>
      <c r="K109">
        <v>4.93</v>
      </c>
      <c r="L109">
        <v>2.4299999999999999E-3</v>
      </c>
      <c r="M109" t="s">
        <v>562</v>
      </c>
      <c r="N109" s="102">
        <v>2.2200000000000002</v>
      </c>
      <c r="O109" s="102">
        <v>2.5</v>
      </c>
      <c r="P109" t="s">
        <v>562</v>
      </c>
      <c r="Q109" t="b">
        <v>1</v>
      </c>
      <c r="R109">
        <v>0.75</v>
      </c>
    </row>
    <row r="110" spans="1:18" x14ac:dyDescent="0.3">
      <c r="A110" t="s">
        <v>559</v>
      </c>
      <c r="B110" t="s">
        <v>563</v>
      </c>
      <c r="C110" t="s">
        <v>561</v>
      </c>
      <c r="D110" t="s">
        <v>195</v>
      </c>
      <c r="E110" t="s">
        <v>718</v>
      </c>
      <c r="F110">
        <v>1</v>
      </c>
      <c r="G110" t="s">
        <v>896</v>
      </c>
      <c r="H110" s="101">
        <v>45848</v>
      </c>
      <c r="I110" s="101">
        <v>402133</v>
      </c>
      <c r="J110" t="s">
        <v>562</v>
      </c>
      <c r="K110">
        <v>5.24</v>
      </c>
      <c r="L110">
        <v>6.6E-4</v>
      </c>
      <c r="M110" t="s">
        <v>562</v>
      </c>
      <c r="N110" s="102">
        <v>3.27</v>
      </c>
      <c r="O110" s="102">
        <v>1.25</v>
      </c>
      <c r="P110" t="s">
        <v>562</v>
      </c>
      <c r="Q110" t="b">
        <v>1</v>
      </c>
      <c r="R110">
        <v>0.7</v>
      </c>
    </row>
    <row r="111" spans="1:18" x14ac:dyDescent="0.3">
      <c r="A111" t="s">
        <v>559</v>
      </c>
      <c r="B111" t="s">
        <v>563</v>
      </c>
      <c r="C111" t="s">
        <v>561</v>
      </c>
      <c r="D111" t="s">
        <v>196</v>
      </c>
      <c r="E111" t="s">
        <v>719</v>
      </c>
      <c r="F111">
        <v>1</v>
      </c>
      <c r="G111" t="s">
        <v>897</v>
      </c>
      <c r="H111" s="101">
        <v>45848</v>
      </c>
      <c r="I111" s="101">
        <v>402133</v>
      </c>
      <c r="J111" t="s">
        <v>562</v>
      </c>
      <c r="K111">
        <v>8.68</v>
      </c>
      <c r="L111">
        <v>8.3800000000000003E-3</v>
      </c>
      <c r="M111" t="s">
        <v>562</v>
      </c>
      <c r="N111" s="102">
        <v>3.4</v>
      </c>
      <c r="O111" s="102">
        <v>2.5</v>
      </c>
      <c r="P111" t="s">
        <v>562</v>
      </c>
      <c r="Q111" t="b">
        <v>1</v>
      </c>
      <c r="R111">
        <v>0.75</v>
      </c>
    </row>
    <row r="112" spans="1:18" x14ac:dyDescent="0.3">
      <c r="A112" t="s">
        <v>559</v>
      </c>
      <c r="B112" t="s">
        <v>563</v>
      </c>
      <c r="C112" t="s">
        <v>561</v>
      </c>
      <c r="D112" t="s">
        <v>197</v>
      </c>
      <c r="E112" t="s">
        <v>720</v>
      </c>
      <c r="F112">
        <v>1</v>
      </c>
      <c r="G112" t="s">
        <v>898</v>
      </c>
      <c r="H112" s="101">
        <v>45848</v>
      </c>
      <c r="I112" s="101">
        <v>402133</v>
      </c>
      <c r="J112" t="s">
        <v>562</v>
      </c>
      <c r="K112">
        <v>4.67</v>
      </c>
      <c r="L112">
        <v>5.9000000000000003E-4</v>
      </c>
      <c r="M112" t="s">
        <v>562</v>
      </c>
      <c r="N112" s="102">
        <v>9.01</v>
      </c>
      <c r="O112" s="102">
        <v>1.25</v>
      </c>
      <c r="P112" t="s">
        <v>562</v>
      </c>
      <c r="Q112" t="b">
        <v>1</v>
      </c>
      <c r="R112">
        <v>0.7</v>
      </c>
    </row>
    <row r="113" spans="1:18" x14ac:dyDescent="0.3">
      <c r="A113" t="s">
        <v>559</v>
      </c>
      <c r="B113" t="s">
        <v>563</v>
      </c>
      <c r="C113" t="s">
        <v>561</v>
      </c>
      <c r="D113" t="s">
        <v>198</v>
      </c>
      <c r="E113" t="s">
        <v>721</v>
      </c>
      <c r="F113">
        <v>1</v>
      </c>
      <c r="G113" t="s">
        <v>899</v>
      </c>
      <c r="H113" s="101">
        <v>45848</v>
      </c>
      <c r="I113" s="101">
        <v>402133</v>
      </c>
      <c r="J113" t="s">
        <v>562</v>
      </c>
      <c r="K113">
        <v>5.34</v>
      </c>
      <c r="L113">
        <v>2.2899999999999999E-3</v>
      </c>
      <c r="M113" t="s">
        <v>562</v>
      </c>
      <c r="N113" s="102">
        <v>6.49</v>
      </c>
      <c r="O113" s="102">
        <v>2.5</v>
      </c>
      <c r="P113" t="s">
        <v>562</v>
      </c>
      <c r="Q113" t="b">
        <v>1</v>
      </c>
      <c r="R113">
        <v>0.75</v>
      </c>
    </row>
    <row r="114" spans="1:18" x14ac:dyDescent="0.3">
      <c r="A114" t="s">
        <v>559</v>
      </c>
      <c r="B114" t="s">
        <v>563</v>
      </c>
      <c r="C114" t="s">
        <v>561</v>
      </c>
      <c r="D114" t="s">
        <v>199</v>
      </c>
      <c r="E114" t="s">
        <v>722</v>
      </c>
      <c r="F114">
        <v>1</v>
      </c>
      <c r="G114" t="s">
        <v>900</v>
      </c>
      <c r="H114" s="101">
        <v>45848</v>
      </c>
      <c r="I114" s="101">
        <v>402133</v>
      </c>
      <c r="J114" t="s">
        <v>562</v>
      </c>
      <c r="K114">
        <v>4.47</v>
      </c>
      <c r="L114">
        <v>4.4999999999999999E-4</v>
      </c>
      <c r="M114" t="s">
        <v>562</v>
      </c>
      <c r="N114" s="102">
        <v>4.25</v>
      </c>
      <c r="O114" s="102">
        <v>1.25</v>
      </c>
      <c r="P114" t="s">
        <v>562</v>
      </c>
      <c r="Q114" t="b">
        <v>1</v>
      </c>
      <c r="R114">
        <v>0.7</v>
      </c>
    </row>
    <row r="115" spans="1:18" x14ac:dyDescent="0.3">
      <c r="A115" t="s">
        <v>559</v>
      </c>
      <c r="B115" t="s">
        <v>563</v>
      </c>
      <c r="C115" t="s">
        <v>561</v>
      </c>
      <c r="D115" t="s">
        <v>200</v>
      </c>
      <c r="E115" t="s">
        <v>723</v>
      </c>
      <c r="F115">
        <v>1</v>
      </c>
      <c r="G115" t="s">
        <v>901</v>
      </c>
      <c r="H115" s="101">
        <v>45848</v>
      </c>
      <c r="I115" s="101">
        <v>402133</v>
      </c>
      <c r="J115" t="s">
        <v>562</v>
      </c>
      <c r="K115">
        <v>13.26</v>
      </c>
      <c r="L115">
        <v>1.6230000000000001E-2</v>
      </c>
      <c r="M115" t="s">
        <v>562</v>
      </c>
      <c r="N115" s="102">
        <v>2.87</v>
      </c>
      <c r="O115" s="102">
        <v>2.5</v>
      </c>
      <c r="P115" t="s">
        <v>562</v>
      </c>
      <c r="Q115" t="b">
        <v>1</v>
      </c>
      <c r="R115">
        <v>0.75</v>
      </c>
    </row>
    <row r="116" spans="1:18" x14ac:dyDescent="0.3">
      <c r="A116" t="s">
        <v>559</v>
      </c>
      <c r="B116" t="s">
        <v>563</v>
      </c>
      <c r="C116" t="s">
        <v>561</v>
      </c>
      <c r="D116" t="s">
        <v>201</v>
      </c>
      <c r="E116" t="s">
        <v>724</v>
      </c>
      <c r="F116">
        <v>1</v>
      </c>
      <c r="G116" t="s">
        <v>902</v>
      </c>
      <c r="H116" s="101">
        <v>45848</v>
      </c>
      <c r="I116" s="101">
        <v>402133</v>
      </c>
      <c r="J116" t="s">
        <v>562</v>
      </c>
      <c r="K116">
        <v>12.33</v>
      </c>
      <c r="L116">
        <v>1.39E-3</v>
      </c>
      <c r="M116" t="s">
        <v>562</v>
      </c>
      <c r="N116" s="102">
        <v>4.1100000000000003</v>
      </c>
      <c r="O116" s="102">
        <v>1.25</v>
      </c>
      <c r="P116" t="s">
        <v>562</v>
      </c>
      <c r="Q116" t="b">
        <v>1</v>
      </c>
      <c r="R116">
        <v>0.7</v>
      </c>
    </row>
    <row r="117" spans="1:18" x14ac:dyDescent="0.3">
      <c r="A117" t="s">
        <v>559</v>
      </c>
      <c r="B117" t="s">
        <v>563</v>
      </c>
      <c r="C117" t="s">
        <v>561</v>
      </c>
      <c r="D117" t="s">
        <v>202</v>
      </c>
      <c r="E117" t="s">
        <v>725</v>
      </c>
      <c r="F117">
        <v>1</v>
      </c>
      <c r="G117" t="s">
        <v>903</v>
      </c>
      <c r="H117" s="101">
        <v>45848</v>
      </c>
      <c r="I117" s="101">
        <v>402133</v>
      </c>
      <c r="J117" t="s">
        <v>562</v>
      </c>
      <c r="K117">
        <v>6.59</v>
      </c>
      <c r="L117">
        <v>4.1900000000000001E-3</v>
      </c>
      <c r="M117" t="s">
        <v>562</v>
      </c>
      <c r="N117" s="102">
        <v>3.61</v>
      </c>
      <c r="O117" s="102">
        <v>2.5</v>
      </c>
      <c r="P117" t="s">
        <v>562</v>
      </c>
      <c r="Q117" t="b">
        <v>1</v>
      </c>
      <c r="R117">
        <v>0.75</v>
      </c>
    </row>
    <row r="118" spans="1:18" x14ac:dyDescent="0.3">
      <c r="A118" t="s">
        <v>559</v>
      </c>
      <c r="B118" t="s">
        <v>563</v>
      </c>
      <c r="C118" t="s">
        <v>561</v>
      </c>
      <c r="D118" t="s">
        <v>203</v>
      </c>
      <c r="E118" t="s">
        <v>726</v>
      </c>
      <c r="F118">
        <v>1</v>
      </c>
      <c r="G118" t="s">
        <v>904</v>
      </c>
      <c r="H118" s="101">
        <v>45848</v>
      </c>
      <c r="I118" s="101">
        <v>402133</v>
      </c>
      <c r="J118" t="s">
        <v>562</v>
      </c>
      <c r="K118">
        <v>5.95</v>
      </c>
      <c r="L118">
        <v>7.2000000000000005E-4</v>
      </c>
      <c r="M118" t="s">
        <v>562</v>
      </c>
      <c r="N118" s="102">
        <v>4.4000000000000004</v>
      </c>
      <c r="O118" s="102">
        <v>1.25</v>
      </c>
      <c r="P118" t="s">
        <v>562</v>
      </c>
      <c r="Q118" t="b">
        <v>1</v>
      </c>
      <c r="R118">
        <v>0.7</v>
      </c>
    </row>
    <row r="119" spans="1:18" x14ac:dyDescent="0.3">
      <c r="A119" t="s">
        <v>559</v>
      </c>
      <c r="B119" t="s">
        <v>563</v>
      </c>
      <c r="C119" t="s">
        <v>561</v>
      </c>
      <c r="D119" t="s">
        <v>204</v>
      </c>
      <c r="E119" t="s">
        <v>727</v>
      </c>
      <c r="F119">
        <v>1</v>
      </c>
      <c r="G119" t="s">
        <v>905</v>
      </c>
      <c r="H119" s="101">
        <v>45848</v>
      </c>
      <c r="I119" s="101">
        <v>402133</v>
      </c>
      <c r="J119" t="s">
        <v>562</v>
      </c>
      <c r="K119">
        <v>9.1</v>
      </c>
      <c r="L119">
        <v>8.6999999999999994E-3</v>
      </c>
      <c r="M119" t="s">
        <v>562</v>
      </c>
      <c r="N119" s="102">
        <v>2.3199999999999998</v>
      </c>
      <c r="O119" s="102">
        <v>2.5</v>
      </c>
      <c r="P119" t="s">
        <v>562</v>
      </c>
      <c r="Q119" t="b">
        <v>1</v>
      </c>
      <c r="R119">
        <v>0.75</v>
      </c>
    </row>
    <row r="120" spans="1:18" x14ac:dyDescent="0.3">
      <c r="A120" t="s">
        <v>559</v>
      </c>
      <c r="B120" t="s">
        <v>563</v>
      </c>
      <c r="C120" t="s">
        <v>561</v>
      </c>
      <c r="D120" t="s">
        <v>205</v>
      </c>
      <c r="E120" t="s">
        <v>728</v>
      </c>
      <c r="F120">
        <v>1</v>
      </c>
      <c r="G120" t="s">
        <v>906</v>
      </c>
      <c r="H120" s="101">
        <v>45848</v>
      </c>
      <c r="I120" s="101">
        <v>402133</v>
      </c>
      <c r="J120" t="s">
        <v>562</v>
      </c>
      <c r="K120">
        <v>9.08</v>
      </c>
      <c r="L120">
        <v>1.17E-3</v>
      </c>
      <c r="M120" t="s">
        <v>562</v>
      </c>
      <c r="N120" s="102">
        <v>2.5499999999999998</v>
      </c>
      <c r="O120" s="102">
        <v>1.25</v>
      </c>
      <c r="P120" t="s">
        <v>562</v>
      </c>
      <c r="Q120" t="b">
        <v>1</v>
      </c>
      <c r="R120">
        <v>0.7</v>
      </c>
    </row>
    <row r="121" spans="1:18" x14ac:dyDescent="0.3">
      <c r="A121" t="s">
        <v>559</v>
      </c>
      <c r="B121" t="s">
        <v>563</v>
      </c>
      <c r="C121" t="s">
        <v>561</v>
      </c>
      <c r="D121" t="s">
        <v>206</v>
      </c>
      <c r="E121" t="s">
        <v>729</v>
      </c>
      <c r="F121">
        <v>1</v>
      </c>
      <c r="G121" t="s">
        <v>907</v>
      </c>
      <c r="H121" s="101">
        <v>45848</v>
      </c>
      <c r="I121" s="101">
        <v>402133</v>
      </c>
      <c r="J121" t="s">
        <v>562</v>
      </c>
      <c r="K121">
        <v>5.75</v>
      </c>
      <c r="L121">
        <v>3.29E-3</v>
      </c>
      <c r="M121" t="s">
        <v>562</v>
      </c>
      <c r="N121" s="102">
        <v>1.4</v>
      </c>
      <c r="O121" s="102">
        <v>2.5</v>
      </c>
      <c r="P121" t="s">
        <v>562</v>
      </c>
      <c r="Q121" t="b">
        <v>1</v>
      </c>
      <c r="R121">
        <v>0.75</v>
      </c>
    </row>
    <row r="122" spans="1:18" x14ac:dyDescent="0.3">
      <c r="A122" t="s">
        <v>559</v>
      </c>
      <c r="B122" t="s">
        <v>563</v>
      </c>
      <c r="C122" t="s">
        <v>561</v>
      </c>
      <c r="D122" t="s">
        <v>207</v>
      </c>
      <c r="E122" t="s">
        <v>730</v>
      </c>
      <c r="F122">
        <v>1</v>
      </c>
      <c r="G122" t="s">
        <v>908</v>
      </c>
      <c r="H122" s="101">
        <v>45848</v>
      </c>
      <c r="I122" s="101">
        <v>402133</v>
      </c>
      <c r="J122" t="s">
        <v>562</v>
      </c>
      <c r="K122">
        <v>5.59</v>
      </c>
      <c r="L122">
        <v>7.1000000000000002E-4</v>
      </c>
      <c r="M122" t="s">
        <v>562</v>
      </c>
      <c r="N122" s="102">
        <v>2.76</v>
      </c>
      <c r="O122" s="102">
        <v>1.25</v>
      </c>
      <c r="P122" t="s">
        <v>562</v>
      </c>
      <c r="Q122" t="b">
        <v>1</v>
      </c>
      <c r="R122">
        <v>0.7</v>
      </c>
    </row>
    <row r="123" spans="1:18" x14ac:dyDescent="0.3">
      <c r="A123" t="s">
        <v>559</v>
      </c>
      <c r="B123" t="s">
        <v>563</v>
      </c>
      <c r="C123" t="s">
        <v>561</v>
      </c>
      <c r="D123" t="s">
        <v>208</v>
      </c>
      <c r="E123" t="s">
        <v>731</v>
      </c>
      <c r="F123">
        <v>1</v>
      </c>
      <c r="G123" t="s">
        <v>909</v>
      </c>
      <c r="H123" s="101">
        <v>45848</v>
      </c>
      <c r="I123" s="101">
        <v>402133</v>
      </c>
      <c r="J123" t="s">
        <v>562</v>
      </c>
      <c r="K123">
        <v>6.35</v>
      </c>
      <c r="L123">
        <v>4.0800000000000003E-3</v>
      </c>
      <c r="M123" t="s">
        <v>562</v>
      </c>
      <c r="N123" s="102">
        <v>2.36</v>
      </c>
      <c r="O123" s="102">
        <v>2.5</v>
      </c>
      <c r="P123" t="s">
        <v>562</v>
      </c>
      <c r="Q123" t="b">
        <v>1</v>
      </c>
      <c r="R123">
        <v>0.75</v>
      </c>
    </row>
    <row r="124" spans="1:18" x14ac:dyDescent="0.3">
      <c r="A124" t="s">
        <v>559</v>
      </c>
      <c r="B124" t="s">
        <v>563</v>
      </c>
      <c r="C124" t="s">
        <v>561</v>
      </c>
      <c r="D124" t="s">
        <v>209</v>
      </c>
      <c r="E124" t="s">
        <v>732</v>
      </c>
      <c r="F124">
        <v>1</v>
      </c>
      <c r="G124" t="s">
        <v>910</v>
      </c>
      <c r="H124" s="101">
        <v>45848</v>
      </c>
      <c r="I124" s="101">
        <v>402133</v>
      </c>
      <c r="J124" t="s">
        <v>562</v>
      </c>
      <c r="K124">
        <v>5.84</v>
      </c>
      <c r="L124">
        <v>7.3999999999999999E-4</v>
      </c>
      <c r="M124" t="s">
        <v>562</v>
      </c>
      <c r="N124" s="102">
        <v>2.71</v>
      </c>
      <c r="O124" s="102">
        <v>1.25</v>
      </c>
      <c r="P124" t="s">
        <v>562</v>
      </c>
      <c r="Q124" t="b">
        <v>1</v>
      </c>
      <c r="R124">
        <v>0.7</v>
      </c>
    </row>
    <row r="125" spans="1:18" x14ac:dyDescent="0.3">
      <c r="A125" t="s">
        <v>559</v>
      </c>
      <c r="B125" t="s">
        <v>563</v>
      </c>
      <c r="C125" t="s">
        <v>561</v>
      </c>
      <c r="D125" t="s">
        <v>210</v>
      </c>
      <c r="E125" t="s">
        <v>733</v>
      </c>
      <c r="F125">
        <v>1</v>
      </c>
      <c r="G125" t="s">
        <v>911</v>
      </c>
      <c r="H125" s="101">
        <v>45848</v>
      </c>
      <c r="I125" s="101">
        <v>402133</v>
      </c>
      <c r="J125" t="s">
        <v>562</v>
      </c>
      <c r="K125">
        <v>7.65</v>
      </c>
      <c r="L125">
        <v>4.1200000000000004E-3</v>
      </c>
      <c r="M125" t="s">
        <v>562</v>
      </c>
      <c r="N125" s="102">
        <v>4.68</v>
      </c>
      <c r="O125" s="102">
        <v>2.5</v>
      </c>
      <c r="P125" t="s">
        <v>562</v>
      </c>
      <c r="Q125" t="b">
        <v>1</v>
      </c>
      <c r="R125">
        <v>0.75</v>
      </c>
    </row>
    <row r="126" spans="1:18" x14ac:dyDescent="0.3">
      <c r="A126" t="s">
        <v>559</v>
      </c>
      <c r="B126" t="s">
        <v>563</v>
      </c>
      <c r="C126" t="s">
        <v>561</v>
      </c>
      <c r="D126" t="s">
        <v>211</v>
      </c>
      <c r="E126" t="s">
        <v>734</v>
      </c>
      <c r="F126">
        <v>1</v>
      </c>
      <c r="G126" t="s">
        <v>912</v>
      </c>
      <c r="H126" s="101">
        <v>45848</v>
      </c>
      <c r="I126" s="101">
        <v>402133</v>
      </c>
      <c r="J126" t="s">
        <v>562</v>
      </c>
      <c r="K126">
        <v>9.4700000000000006</v>
      </c>
      <c r="L126">
        <v>9.5E-4</v>
      </c>
      <c r="M126" t="s">
        <v>562</v>
      </c>
      <c r="N126" s="102">
        <v>4.6500000000000004</v>
      </c>
      <c r="O126" s="102">
        <v>1.25</v>
      </c>
      <c r="P126" t="s">
        <v>562</v>
      </c>
      <c r="Q126" t="b">
        <v>1</v>
      </c>
      <c r="R126">
        <v>0.7</v>
      </c>
    </row>
    <row r="127" spans="1:18" x14ac:dyDescent="0.3">
      <c r="A127" t="s">
        <v>559</v>
      </c>
      <c r="B127" t="s">
        <v>563</v>
      </c>
      <c r="C127" t="s">
        <v>561</v>
      </c>
      <c r="D127" t="s">
        <v>212</v>
      </c>
      <c r="E127" t="s">
        <v>735</v>
      </c>
      <c r="F127">
        <v>1</v>
      </c>
      <c r="G127" t="s">
        <v>913</v>
      </c>
      <c r="H127" s="101">
        <v>45848</v>
      </c>
      <c r="I127" s="101">
        <v>402133</v>
      </c>
      <c r="J127" t="s">
        <v>562</v>
      </c>
      <c r="K127">
        <v>6.12</v>
      </c>
      <c r="L127">
        <v>3.0300000000000001E-3</v>
      </c>
      <c r="M127" t="s">
        <v>562</v>
      </c>
      <c r="N127" s="102">
        <v>2.59</v>
      </c>
      <c r="O127" s="102">
        <v>2.5</v>
      </c>
      <c r="P127" t="s">
        <v>562</v>
      </c>
      <c r="Q127" t="b">
        <v>1</v>
      </c>
      <c r="R127">
        <v>0.75</v>
      </c>
    </row>
    <row r="128" spans="1:18" x14ac:dyDescent="0.3">
      <c r="A128" t="s">
        <v>559</v>
      </c>
      <c r="B128" t="s">
        <v>563</v>
      </c>
      <c r="C128" t="s">
        <v>561</v>
      </c>
      <c r="D128" t="s">
        <v>213</v>
      </c>
      <c r="E128" t="s">
        <v>736</v>
      </c>
      <c r="F128">
        <v>1</v>
      </c>
      <c r="G128" t="s">
        <v>914</v>
      </c>
      <c r="H128" s="101">
        <v>45848</v>
      </c>
      <c r="I128" s="101">
        <v>402133</v>
      </c>
      <c r="J128" t="s">
        <v>562</v>
      </c>
      <c r="K128">
        <v>6.15</v>
      </c>
      <c r="L128">
        <v>6.2E-4</v>
      </c>
      <c r="M128" t="s">
        <v>562</v>
      </c>
      <c r="N128" s="102">
        <v>3.05</v>
      </c>
      <c r="O128" s="102">
        <v>1.25</v>
      </c>
      <c r="P128" t="s">
        <v>562</v>
      </c>
      <c r="Q128" t="b">
        <v>1</v>
      </c>
      <c r="R128">
        <v>0.7</v>
      </c>
    </row>
    <row r="129" spans="1:18" x14ac:dyDescent="0.3">
      <c r="A129" t="s">
        <v>559</v>
      </c>
      <c r="B129" t="s">
        <v>563</v>
      </c>
      <c r="C129" t="s">
        <v>561</v>
      </c>
      <c r="D129" t="s">
        <v>214</v>
      </c>
      <c r="E129" t="s">
        <v>737</v>
      </c>
      <c r="F129">
        <v>1</v>
      </c>
      <c r="G129" t="s">
        <v>915</v>
      </c>
      <c r="H129" s="101">
        <v>45848</v>
      </c>
      <c r="I129" s="101">
        <v>402133</v>
      </c>
      <c r="J129" t="s">
        <v>562</v>
      </c>
      <c r="K129">
        <v>9.3000000000000007</v>
      </c>
      <c r="L129">
        <v>6.0800000000000003E-3</v>
      </c>
      <c r="M129" t="s">
        <v>562</v>
      </c>
      <c r="N129" s="102">
        <v>5.22</v>
      </c>
      <c r="O129" s="102">
        <v>2.5</v>
      </c>
      <c r="P129" t="s">
        <v>562</v>
      </c>
      <c r="Q129" t="b">
        <v>1</v>
      </c>
      <c r="R129">
        <v>0.75</v>
      </c>
    </row>
    <row r="130" spans="1:18" x14ac:dyDescent="0.3">
      <c r="A130" t="s">
        <v>559</v>
      </c>
      <c r="B130" t="s">
        <v>563</v>
      </c>
      <c r="C130" t="s">
        <v>561</v>
      </c>
      <c r="D130" t="s">
        <v>215</v>
      </c>
      <c r="E130" t="s">
        <v>738</v>
      </c>
      <c r="F130">
        <v>1</v>
      </c>
      <c r="G130" t="s">
        <v>916</v>
      </c>
      <c r="H130" s="101">
        <v>45848</v>
      </c>
      <c r="I130" s="101">
        <v>402133</v>
      </c>
      <c r="J130" t="s">
        <v>562</v>
      </c>
      <c r="K130">
        <v>10.38</v>
      </c>
      <c r="L130">
        <v>1.0399999999999999E-3</v>
      </c>
      <c r="M130" t="s">
        <v>562</v>
      </c>
      <c r="N130" s="102">
        <v>6.15</v>
      </c>
      <c r="O130" s="102">
        <v>1.25</v>
      </c>
      <c r="P130" t="s">
        <v>562</v>
      </c>
      <c r="Q130" t="b">
        <v>1</v>
      </c>
      <c r="R130">
        <v>0.7</v>
      </c>
    </row>
    <row r="131" spans="1:18" x14ac:dyDescent="0.3">
      <c r="A131" t="s">
        <v>559</v>
      </c>
      <c r="B131" t="s">
        <v>563</v>
      </c>
      <c r="C131" t="s">
        <v>561</v>
      </c>
      <c r="D131" t="s">
        <v>216</v>
      </c>
      <c r="E131" t="s">
        <v>739</v>
      </c>
      <c r="F131">
        <v>1</v>
      </c>
      <c r="G131" t="s">
        <v>917</v>
      </c>
      <c r="H131" s="101">
        <v>45848</v>
      </c>
      <c r="I131" s="101">
        <v>402133</v>
      </c>
      <c r="J131" t="s">
        <v>562</v>
      </c>
      <c r="K131">
        <v>10.09</v>
      </c>
      <c r="L131">
        <v>8.0800000000000004E-3</v>
      </c>
      <c r="M131" t="s">
        <v>562</v>
      </c>
      <c r="N131" s="102">
        <v>4.09</v>
      </c>
      <c r="O131" s="102">
        <v>2.5</v>
      </c>
      <c r="P131" t="s">
        <v>562</v>
      </c>
      <c r="Q131" t="b">
        <v>1</v>
      </c>
      <c r="R131">
        <v>0.75</v>
      </c>
    </row>
    <row r="132" spans="1:18" x14ac:dyDescent="0.3">
      <c r="A132" t="s">
        <v>559</v>
      </c>
      <c r="B132" t="s">
        <v>563</v>
      </c>
      <c r="C132" t="s">
        <v>561</v>
      </c>
      <c r="D132" t="s">
        <v>217</v>
      </c>
      <c r="E132" t="s">
        <v>740</v>
      </c>
      <c r="F132">
        <v>1</v>
      </c>
      <c r="G132" t="s">
        <v>918</v>
      </c>
      <c r="H132" s="101">
        <v>45848</v>
      </c>
      <c r="I132" s="101">
        <v>402133</v>
      </c>
      <c r="J132" t="s">
        <v>562</v>
      </c>
      <c r="K132">
        <v>8.56</v>
      </c>
      <c r="L132">
        <v>8.5999999999999998E-4</v>
      </c>
      <c r="M132" t="s">
        <v>562</v>
      </c>
      <c r="N132" s="102">
        <v>14.06</v>
      </c>
      <c r="O132" s="102">
        <v>1.25</v>
      </c>
      <c r="P132" t="s">
        <v>562</v>
      </c>
      <c r="Q132" t="b">
        <v>1</v>
      </c>
      <c r="R132">
        <v>0.7</v>
      </c>
    </row>
    <row r="133" spans="1:18" x14ac:dyDescent="0.3">
      <c r="A133" t="s">
        <v>559</v>
      </c>
      <c r="B133" t="s">
        <v>563</v>
      </c>
      <c r="C133" t="s">
        <v>561</v>
      </c>
      <c r="D133" t="s">
        <v>218</v>
      </c>
      <c r="E133" t="s">
        <v>741</v>
      </c>
      <c r="F133">
        <v>1</v>
      </c>
      <c r="G133" t="s">
        <v>919</v>
      </c>
      <c r="H133" s="101">
        <v>45848</v>
      </c>
      <c r="I133" s="101">
        <v>402133</v>
      </c>
      <c r="J133" t="s">
        <v>562</v>
      </c>
      <c r="K133">
        <v>4.5</v>
      </c>
      <c r="L133">
        <v>8.4000000000000003E-4</v>
      </c>
      <c r="M133" t="s">
        <v>562</v>
      </c>
      <c r="N133" s="102">
        <v>4.26</v>
      </c>
      <c r="O133" s="102">
        <v>2.5</v>
      </c>
      <c r="P133" t="s">
        <v>562</v>
      </c>
      <c r="Q133" t="b">
        <v>1</v>
      </c>
      <c r="R133">
        <v>0.75</v>
      </c>
    </row>
    <row r="134" spans="1:18" x14ac:dyDescent="0.3">
      <c r="A134" t="s">
        <v>559</v>
      </c>
      <c r="B134" t="s">
        <v>563</v>
      </c>
      <c r="C134" t="s">
        <v>561</v>
      </c>
      <c r="D134" t="s">
        <v>219</v>
      </c>
      <c r="E134" t="s">
        <v>742</v>
      </c>
      <c r="F134">
        <v>1</v>
      </c>
      <c r="G134" t="s">
        <v>920</v>
      </c>
      <c r="H134" s="101">
        <v>45848</v>
      </c>
      <c r="I134" s="101">
        <v>402133</v>
      </c>
      <c r="J134" t="s">
        <v>562</v>
      </c>
      <c r="K134">
        <v>3.96</v>
      </c>
      <c r="L134">
        <v>2.0000000000000001E-4</v>
      </c>
      <c r="M134" t="s">
        <v>562</v>
      </c>
      <c r="N134" s="102">
        <v>6.67</v>
      </c>
      <c r="O134" s="102">
        <v>1.25</v>
      </c>
      <c r="P134" t="s">
        <v>562</v>
      </c>
      <c r="Q134" t="b">
        <v>1</v>
      </c>
      <c r="R134">
        <v>0.7</v>
      </c>
    </row>
    <row r="135" spans="1:18" x14ac:dyDescent="0.3">
      <c r="A135" t="s">
        <v>559</v>
      </c>
      <c r="B135" t="s">
        <v>563</v>
      </c>
      <c r="C135" t="s">
        <v>561</v>
      </c>
      <c r="D135" t="s">
        <v>220</v>
      </c>
      <c r="E135" t="s">
        <v>743</v>
      </c>
      <c r="F135">
        <v>1</v>
      </c>
      <c r="G135" t="s">
        <v>921</v>
      </c>
      <c r="H135" s="101">
        <v>45848</v>
      </c>
      <c r="I135" s="101">
        <v>402133</v>
      </c>
      <c r="J135" t="s">
        <v>562</v>
      </c>
      <c r="K135">
        <v>7.69</v>
      </c>
      <c r="L135">
        <v>7.0200000000000002E-3</v>
      </c>
      <c r="M135" t="s">
        <v>562</v>
      </c>
      <c r="N135" s="102">
        <v>2.42</v>
      </c>
      <c r="O135" s="102">
        <v>2.5</v>
      </c>
      <c r="P135" t="s">
        <v>562</v>
      </c>
      <c r="Q135" t="b">
        <v>1</v>
      </c>
      <c r="R135">
        <v>0.75</v>
      </c>
    </row>
    <row r="136" spans="1:18" x14ac:dyDescent="0.3">
      <c r="A136" t="s">
        <v>559</v>
      </c>
      <c r="B136" t="s">
        <v>563</v>
      </c>
      <c r="C136" t="s">
        <v>561</v>
      </c>
      <c r="D136" t="s">
        <v>221</v>
      </c>
      <c r="E136" t="s">
        <v>744</v>
      </c>
      <c r="F136">
        <v>1</v>
      </c>
      <c r="G136" t="s">
        <v>922</v>
      </c>
      <c r="H136" s="101">
        <v>45848</v>
      </c>
      <c r="I136" s="101">
        <v>402133</v>
      </c>
      <c r="J136" t="s">
        <v>562</v>
      </c>
      <c r="K136">
        <v>6.78</v>
      </c>
      <c r="L136">
        <v>1.01E-3</v>
      </c>
      <c r="M136" t="s">
        <v>562</v>
      </c>
      <c r="N136" s="102">
        <v>3.05</v>
      </c>
      <c r="O136" s="102">
        <v>1.25</v>
      </c>
      <c r="P136" t="s">
        <v>562</v>
      </c>
      <c r="Q136" t="b">
        <v>1</v>
      </c>
      <c r="R136">
        <v>0.7</v>
      </c>
    </row>
    <row r="137" spans="1:18" x14ac:dyDescent="0.3">
      <c r="A137" t="s">
        <v>559</v>
      </c>
      <c r="B137" t="s">
        <v>563</v>
      </c>
      <c r="C137" t="s">
        <v>561</v>
      </c>
      <c r="D137" t="s">
        <v>222</v>
      </c>
      <c r="E137" t="s">
        <v>745</v>
      </c>
      <c r="F137">
        <v>1</v>
      </c>
      <c r="G137" t="s">
        <v>923</v>
      </c>
      <c r="H137" s="101">
        <v>45848</v>
      </c>
      <c r="I137" s="101">
        <v>402133</v>
      </c>
      <c r="J137" t="s">
        <v>562</v>
      </c>
      <c r="K137">
        <v>9.7200000000000006</v>
      </c>
      <c r="L137">
        <v>1.09E-3</v>
      </c>
      <c r="M137" t="s">
        <v>562</v>
      </c>
      <c r="N137" s="102">
        <v>2.04</v>
      </c>
      <c r="O137" s="102">
        <v>1.5</v>
      </c>
      <c r="P137" t="s">
        <v>562</v>
      </c>
      <c r="Q137" t="b">
        <v>1</v>
      </c>
      <c r="R137">
        <v>0.75</v>
      </c>
    </row>
    <row r="138" spans="1:18" x14ac:dyDescent="0.3">
      <c r="A138" t="s">
        <v>559</v>
      </c>
      <c r="B138" t="s">
        <v>563</v>
      </c>
      <c r="C138" t="s">
        <v>561</v>
      </c>
      <c r="D138" t="s">
        <v>223</v>
      </c>
      <c r="E138" t="s">
        <v>746</v>
      </c>
      <c r="F138">
        <v>1</v>
      </c>
      <c r="G138" t="s">
        <v>924</v>
      </c>
      <c r="H138" s="101">
        <v>45848</v>
      </c>
      <c r="I138" s="101">
        <v>402133</v>
      </c>
      <c r="J138" t="s">
        <v>562</v>
      </c>
      <c r="K138">
        <v>5.98</v>
      </c>
      <c r="L138">
        <v>6.7000000000000002E-4</v>
      </c>
      <c r="M138" t="s">
        <v>562</v>
      </c>
      <c r="N138" s="102">
        <v>3.58</v>
      </c>
      <c r="O138" s="102">
        <v>0.75</v>
      </c>
      <c r="P138" t="s">
        <v>562</v>
      </c>
      <c r="Q138" t="b">
        <v>1</v>
      </c>
      <c r="R138">
        <v>0.7</v>
      </c>
    </row>
    <row r="139" spans="1:18" x14ac:dyDescent="0.3">
      <c r="A139" t="s">
        <v>559</v>
      </c>
      <c r="B139" t="s">
        <v>563</v>
      </c>
      <c r="C139" t="s">
        <v>561</v>
      </c>
      <c r="D139" t="s">
        <v>224</v>
      </c>
      <c r="E139" t="s">
        <v>747</v>
      </c>
      <c r="F139">
        <v>1</v>
      </c>
      <c r="G139" t="s">
        <v>925</v>
      </c>
      <c r="H139" s="101">
        <v>45848</v>
      </c>
      <c r="I139" s="101">
        <v>402133</v>
      </c>
      <c r="J139" t="s">
        <v>562</v>
      </c>
      <c r="K139">
        <v>5.25</v>
      </c>
      <c r="L139">
        <v>5.9000000000000003E-4</v>
      </c>
      <c r="M139" t="s">
        <v>562</v>
      </c>
      <c r="N139" s="102">
        <v>2.4300000000000002</v>
      </c>
      <c r="O139" s="102">
        <v>1.5</v>
      </c>
      <c r="P139" t="s">
        <v>562</v>
      </c>
      <c r="Q139" t="b">
        <v>1</v>
      </c>
      <c r="R139">
        <v>0.75</v>
      </c>
    </row>
    <row r="140" spans="1:18" x14ac:dyDescent="0.3">
      <c r="A140" t="s">
        <v>559</v>
      </c>
      <c r="B140" t="s">
        <v>563</v>
      </c>
      <c r="C140" t="s">
        <v>561</v>
      </c>
      <c r="D140" t="s">
        <v>225</v>
      </c>
      <c r="E140" t="s">
        <v>748</v>
      </c>
      <c r="F140">
        <v>1</v>
      </c>
      <c r="G140" t="s">
        <v>926</v>
      </c>
      <c r="H140" s="101">
        <v>45848</v>
      </c>
      <c r="I140" s="101">
        <v>402133</v>
      </c>
      <c r="J140" t="s">
        <v>562</v>
      </c>
      <c r="K140">
        <v>5.43</v>
      </c>
      <c r="L140">
        <v>6.0999999999999997E-4</v>
      </c>
      <c r="M140" t="s">
        <v>562</v>
      </c>
      <c r="N140" s="102">
        <v>2.7</v>
      </c>
      <c r="O140" s="102">
        <v>0.75</v>
      </c>
      <c r="P140" t="s">
        <v>562</v>
      </c>
      <c r="Q140" t="b">
        <v>1</v>
      </c>
      <c r="R140">
        <v>0.7</v>
      </c>
    </row>
    <row r="141" spans="1:18" x14ac:dyDescent="0.3">
      <c r="A141" t="s">
        <v>559</v>
      </c>
      <c r="B141" t="s">
        <v>563</v>
      </c>
      <c r="C141" t="s">
        <v>561</v>
      </c>
      <c r="D141" t="s">
        <v>226</v>
      </c>
      <c r="E141" t="s">
        <v>749</v>
      </c>
      <c r="F141">
        <v>1</v>
      </c>
      <c r="G141" t="s">
        <v>927</v>
      </c>
      <c r="H141" s="101">
        <v>45848</v>
      </c>
      <c r="I141" s="101">
        <v>402133</v>
      </c>
      <c r="J141" t="s">
        <v>562</v>
      </c>
      <c r="K141">
        <v>15.29</v>
      </c>
      <c r="L141">
        <v>7.6999999999999996E-4</v>
      </c>
      <c r="M141" t="s">
        <v>562</v>
      </c>
      <c r="N141" s="102">
        <v>27.29</v>
      </c>
      <c r="O141" s="102">
        <v>1.5</v>
      </c>
      <c r="P141" t="s">
        <v>562</v>
      </c>
      <c r="Q141" t="b">
        <v>1</v>
      </c>
      <c r="R141">
        <v>0.75</v>
      </c>
    </row>
    <row r="142" spans="1:18" x14ac:dyDescent="0.3">
      <c r="A142" t="s">
        <v>559</v>
      </c>
      <c r="B142" t="s">
        <v>563</v>
      </c>
      <c r="C142" t="s">
        <v>561</v>
      </c>
      <c r="D142" t="s">
        <v>227</v>
      </c>
      <c r="E142" t="s">
        <v>750</v>
      </c>
      <c r="F142">
        <v>1</v>
      </c>
      <c r="G142" t="s">
        <v>928</v>
      </c>
      <c r="H142" s="101">
        <v>45848</v>
      </c>
      <c r="I142" s="101">
        <v>402133</v>
      </c>
      <c r="J142" t="s">
        <v>562</v>
      </c>
      <c r="K142">
        <v>2.59</v>
      </c>
      <c r="L142">
        <v>1.2999999999999999E-4</v>
      </c>
      <c r="M142" t="s">
        <v>562</v>
      </c>
      <c r="N142" s="102">
        <v>2.75</v>
      </c>
      <c r="O142" s="102">
        <v>0.75</v>
      </c>
      <c r="P142" t="s">
        <v>562</v>
      </c>
      <c r="Q142" t="b">
        <v>1</v>
      </c>
      <c r="R142">
        <v>0.7</v>
      </c>
    </row>
    <row r="143" spans="1:18" x14ac:dyDescent="0.3">
      <c r="A143" t="s">
        <v>559</v>
      </c>
      <c r="B143" t="s">
        <v>563</v>
      </c>
      <c r="C143" t="s">
        <v>561</v>
      </c>
      <c r="D143" t="s">
        <v>228</v>
      </c>
      <c r="E143" t="s">
        <v>751</v>
      </c>
      <c r="F143">
        <v>1</v>
      </c>
      <c r="G143" t="s">
        <v>929</v>
      </c>
      <c r="H143" s="101">
        <v>45848</v>
      </c>
      <c r="I143" s="101">
        <v>402133</v>
      </c>
      <c r="J143" t="s">
        <v>562</v>
      </c>
      <c r="K143">
        <v>6.08</v>
      </c>
      <c r="L143">
        <v>7.3999999999999999E-4</v>
      </c>
      <c r="M143" t="s">
        <v>562</v>
      </c>
      <c r="N143" s="102">
        <v>1.54</v>
      </c>
      <c r="O143" s="102">
        <v>0.75</v>
      </c>
      <c r="P143" t="s">
        <v>562</v>
      </c>
      <c r="Q143" t="b">
        <v>1</v>
      </c>
      <c r="R143">
        <v>0.7</v>
      </c>
    </row>
    <row r="144" spans="1:18" x14ac:dyDescent="0.3">
      <c r="A144" t="s">
        <v>559</v>
      </c>
      <c r="B144" t="s">
        <v>563</v>
      </c>
      <c r="C144" t="s">
        <v>561</v>
      </c>
      <c r="D144" t="s">
        <v>229</v>
      </c>
      <c r="E144" t="s">
        <v>752</v>
      </c>
      <c r="F144">
        <v>1</v>
      </c>
      <c r="G144" t="s">
        <v>930</v>
      </c>
      <c r="H144" s="101">
        <v>45848</v>
      </c>
      <c r="I144" s="101">
        <v>402133</v>
      </c>
      <c r="J144" t="s">
        <v>562</v>
      </c>
      <c r="K144">
        <v>8.8800000000000008</v>
      </c>
      <c r="L144">
        <v>1E-3</v>
      </c>
      <c r="M144" t="s">
        <v>562</v>
      </c>
      <c r="N144" s="102">
        <v>4.49</v>
      </c>
      <c r="O144" s="102">
        <v>1.5</v>
      </c>
      <c r="P144" t="s">
        <v>562</v>
      </c>
      <c r="Q144" t="b">
        <v>1</v>
      </c>
      <c r="R144">
        <v>0.75</v>
      </c>
    </row>
    <row r="145" spans="1:18" x14ac:dyDescent="0.3">
      <c r="A145" t="s">
        <v>559</v>
      </c>
      <c r="B145" t="s">
        <v>563</v>
      </c>
      <c r="C145" t="s">
        <v>561</v>
      </c>
      <c r="D145" t="s">
        <v>230</v>
      </c>
      <c r="E145" t="s">
        <v>753</v>
      </c>
      <c r="F145">
        <v>1</v>
      </c>
      <c r="G145" t="s">
        <v>931</v>
      </c>
      <c r="H145" s="101">
        <v>45848</v>
      </c>
      <c r="I145" s="101">
        <v>402133</v>
      </c>
      <c r="J145" t="s">
        <v>562</v>
      </c>
      <c r="K145">
        <v>7.94</v>
      </c>
      <c r="L145">
        <v>8.8999999999999995E-4</v>
      </c>
      <c r="M145" t="s">
        <v>562</v>
      </c>
      <c r="N145" s="102">
        <v>3.63</v>
      </c>
      <c r="O145" s="102">
        <v>0.75</v>
      </c>
      <c r="P145" t="s">
        <v>562</v>
      </c>
      <c r="Q145" t="b">
        <v>1</v>
      </c>
      <c r="R145">
        <v>0.7</v>
      </c>
    </row>
    <row r="146" spans="1:18" x14ac:dyDescent="0.3">
      <c r="A146" t="s">
        <v>559</v>
      </c>
      <c r="B146" t="s">
        <v>563</v>
      </c>
      <c r="C146" t="s">
        <v>561</v>
      </c>
      <c r="D146" t="s">
        <v>231</v>
      </c>
      <c r="E146" t="s">
        <v>754</v>
      </c>
      <c r="F146">
        <v>1</v>
      </c>
      <c r="G146" t="s">
        <v>932</v>
      </c>
      <c r="H146" s="101">
        <v>45848</v>
      </c>
      <c r="I146" s="101">
        <v>402133</v>
      </c>
      <c r="J146" t="s">
        <v>562</v>
      </c>
      <c r="K146">
        <v>21.74</v>
      </c>
      <c r="L146">
        <v>2.4499999999999999E-3</v>
      </c>
      <c r="M146" t="s">
        <v>562</v>
      </c>
      <c r="N146" s="102">
        <v>3.63</v>
      </c>
      <c r="O146" s="102">
        <v>1.5</v>
      </c>
      <c r="P146" t="s">
        <v>562</v>
      </c>
      <c r="Q146" t="b">
        <v>1</v>
      </c>
      <c r="R146">
        <v>0.75</v>
      </c>
    </row>
    <row r="147" spans="1:18" x14ac:dyDescent="0.3">
      <c r="A147" t="s">
        <v>559</v>
      </c>
      <c r="B147" t="s">
        <v>563</v>
      </c>
      <c r="C147" t="s">
        <v>561</v>
      </c>
      <c r="D147" t="s">
        <v>232</v>
      </c>
      <c r="E147" t="s">
        <v>755</v>
      </c>
      <c r="F147">
        <v>1</v>
      </c>
      <c r="G147" t="s">
        <v>933</v>
      </c>
      <c r="H147" s="101">
        <v>45848</v>
      </c>
      <c r="I147" s="101">
        <v>402133</v>
      </c>
      <c r="J147" t="s">
        <v>562</v>
      </c>
      <c r="K147">
        <v>5.98</v>
      </c>
      <c r="L147">
        <v>6.7000000000000002E-4</v>
      </c>
      <c r="M147" t="s">
        <v>562</v>
      </c>
      <c r="N147" s="102">
        <v>9.3800000000000008</v>
      </c>
      <c r="O147" s="102">
        <v>0.75</v>
      </c>
      <c r="P147" t="s">
        <v>562</v>
      </c>
      <c r="Q147" t="b">
        <v>1</v>
      </c>
      <c r="R147">
        <v>0.7</v>
      </c>
    </row>
    <row r="148" spans="1:18" x14ac:dyDescent="0.3">
      <c r="A148" t="s">
        <v>559</v>
      </c>
      <c r="B148" t="s">
        <v>563</v>
      </c>
      <c r="C148" t="s">
        <v>561</v>
      </c>
      <c r="D148" t="s">
        <v>233</v>
      </c>
      <c r="E148" t="s">
        <v>756</v>
      </c>
      <c r="F148">
        <v>1</v>
      </c>
      <c r="G148" t="s">
        <v>934</v>
      </c>
      <c r="H148" s="101">
        <v>45848</v>
      </c>
      <c r="I148" s="101">
        <v>402133</v>
      </c>
      <c r="J148" t="s">
        <v>562</v>
      </c>
      <c r="K148">
        <v>6.43</v>
      </c>
      <c r="L148">
        <v>6.9999999999999999E-4</v>
      </c>
      <c r="M148" t="s">
        <v>562</v>
      </c>
      <c r="N148" s="102">
        <v>7.52</v>
      </c>
      <c r="O148" s="102">
        <v>1.5</v>
      </c>
      <c r="P148" t="s">
        <v>562</v>
      </c>
      <c r="Q148" t="b">
        <v>1</v>
      </c>
      <c r="R148">
        <v>0.75</v>
      </c>
    </row>
    <row r="149" spans="1:18" x14ac:dyDescent="0.3">
      <c r="A149" t="s">
        <v>559</v>
      </c>
      <c r="B149" t="s">
        <v>563</v>
      </c>
      <c r="C149" t="s">
        <v>561</v>
      </c>
      <c r="D149" t="s">
        <v>234</v>
      </c>
      <c r="E149" t="s">
        <v>757</v>
      </c>
      <c r="F149">
        <v>1</v>
      </c>
      <c r="G149" t="s">
        <v>935</v>
      </c>
      <c r="H149" s="101">
        <v>45848</v>
      </c>
      <c r="I149" s="101">
        <v>402133</v>
      </c>
      <c r="J149" t="s">
        <v>562</v>
      </c>
      <c r="K149">
        <v>6.43</v>
      </c>
      <c r="L149">
        <v>6.9999999999999999E-4</v>
      </c>
      <c r="M149" t="s">
        <v>562</v>
      </c>
      <c r="N149" s="102">
        <v>9.23</v>
      </c>
      <c r="O149" s="102">
        <v>0.75</v>
      </c>
      <c r="P149" t="s">
        <v>562</v>
      </c>
      <c r="Q149" t="b">
        <v>1</v>
      </c>
      <c r="R149">
        <v>0.7</v>
      </c>
    </row>
    <row r="150" spans="1:18" x14ac:dyDescent="0.3">
      <c r="A150" t="s">
        <v>559</v>
      </c>
      <c r="B150" t="s">
        <v>563</v>
      </c>
      <c r="C150" t="s">
        <v>561</v>
      </c>
      <c r="D150" t="s">
        <v>235</v>
      </c>
      <c r="E150" t="s">
        <v>758</v>
      </c>
      <c r="F150">
        <v>1</v>
      </c>
      <c r="G150" t="s">
        <v>936</v>
      </c>
      <c r="H150" s="101">
        <v>45848</v>
      </c>
      <c r="I150" s="101">
        <v>402133</v>
      </c>
      <c r="J150" t="s">
        <v>562</v>
      </c>
      <c r="K150">
        <v>8.5299999999999994</v>
      </c>
      <c r="L150">
        <v>9.6000000000000002E-4</v>
      </c>
      <c r="M150" t="s">
        <v>562</v>
      </c>
      <c r="N150" s="102">
        <v>1.83</v>
      </c>
      <c r="O150" s="102">
        <v>1.5</v>
      </c>
      <c r="P150" t="s">
        <v>562</v>
      </c>
      <c r="Q150" t="b">
        <v>1</v>
      </c>
      <c r="R150">
        <v>0.75</v>
      </c>
    </row>
    <row r="151" spans="1:18" x14ac:dyDescent="0.3">
      <c r="A151" t="s">
        <v>559</v>
      </c>
      <c r="B151" t="s">
        <v>563</v>
      </c>
      <c r="C151" t="s">
        <v>561</v>
      </c>
      <c r="D151" t="s">
        <v>236</v>
      </c>
      <c r="E151" t="s">
        <v>759</v>
      </c>
      <c r="F151">
        <v>1</v>
      </c>
      <c r="G151" t="s">
        <v>937</v>
      </c>
      <c r="H151" s="101">
        <v>45848</v>
      </c>
      <c r="I151" s="101">
        <v>402133</v>
      </c>
      <c r="J151" t="s">
        <v>562</v>
      </c>
      <c r="K151">
        <v>7.94</v>
      </c>
      <c r="L151">
        <v>8.8999999999999995E-4</v>
      </c>
      <c r="M151" t="s">
        <v>562</v>
      </c>
      <c r="N151" s="102">
        <v>2.29</v>
      </c>
      <c r="O151" s="102">
        <v>0.75</v>
      </c>
      <c r="P151" t="s">
        <v>562</v>
      </c>
      <c r="Q151" t="b">
        <v>1</v>
      </c>
      <c r="R151">
        <v>0.7</v>
      </c>
    </row>
    <row r="152" spans="1:18" x14ac:dyDescent="0.3">
      <c r="A152" t="s">
        <v>559</v>
      </c>
      <c r="B152" t="s">
        <v>563</v>
      </c>
      <c r="C152" t="s">
        <v>561</v>
      </c>
      <c r="D152" t="s">
        <v>237</v>
      </c>
      <c r="E152" t="s">
        <v>760</v>
      </c>
      <c r="F152">
        <v>1</v>
      </c>
      <c r="G152" t="s">
        <v>938</v>
      </c>
      <c r="H152" s="101">
        <v>45848</v>
      </c>
      <c r="I152" s="101">
        <v>402133</v>
      </c>
      <c r="J152" t="s">
        <v>562</v>
      </c>
      <c r="K152">
        <v>3.9</v>
      </c>
      <c r="L152">
        <v>4.8999999999999998E-4</v>
      </c>
      <c r="M152" t="s">
        <v>562</v>
      </c>
      <c r="N152" s="102">
        <v>1.84</v>
      </c>
      <c r="O152" s="102">
        <v>1.5</v>
      </c>
      <c r="P152" t="s">
        <v>562</v>
      </c>
      <c r="Q152" t="b">
        <v>1</v>
      </c>
      <c r="R152">
        <v>0.75</v>
      </c>
    </row>
    <row r="153" spans="1:18" x14ac:dyDescent="0.3">
      <c r="A153" t="s">
        <v>559</v>
      </c>
      <c r="B153" t="s">
        <v>563</v>
      </c>
      <c r="C153" t="s">
        <v>561</v>
      </c>
      <c r="D153" t="s">
        <v>238</v>
      </c>
      <c r="E153" t="s">
        <v>761</v>
      </c>
      <c r="F153">
        <v>1</v>
      </c>
      <c r="G153" t="s">
        <v>939</v>
      </c>
      <c r="H153" s="101">
        <v>45848</v>
      </c>
      <c r="I153" s="101">
        <v>402133</v>
      </c>
      <c r="J153" t="s">
        <v>562</v>
      </c>
      <c r="K153">
        <v>4.21</v>
      </c>
      <c r="L153">
        <v>5.2999999999999998E-4</v>
      </c>
      <c r="M153" t="s">
        <v>562</v>
      </c>
      <c r="N153" s="102">
        <v>2.71</v>
      </c>
      <c r="O153" s="102">
        <v>0.75</v>
      </c>
      <c r="P153" t="s">
        <v>562</v>
      </c>
      <c r="Q153" t="b">
        <v>1</v>
      </c>
      <c r="R153">
        <v>0.7</v>
      </c>
    </row>
    <row r="154" spans="1:18" x14ac:dyDescent="0.3">
      <c r="A154" t="s">
        <v>559</v>
      </c>
      <c r="B154" t="s">
        <v>563</v>
      </c>
      <c r="C154" t="s">
        <v>561</v>
      </c>
      <c r="D154" t="s">
        <v>239</v>
      </c>
      <c r="E154" t="s">
        <v>762</v>
      </c>
      <c r="F154">
        <v>1</v>
      </c>
      <c r="G154" t="s">
        <v>940</v>
      </c>
      <c r="H154" s="101">
        <v>45848</v>
      </c>
      <c r="I154" s="101">
        <v>402133</v>
      </c>
      <c r="J154" t="s">
        <v>562</v>
      </c>
      <c r="K154">
        <v>7.63</v>
      </c>
      <c r="L154">
        <v>9.7000000000000005E-4</v>
      </c>
      <c r="M154" t="s">
        <v>562</v>
      </c>
      <c r="N154" s="102">
        <v>2.87</v>
      </c>
      <c r="O154" s="102">
        <v>1.5</v>
      </c>
      <c r="P154" t="s">
        <v>562</v>
      </c>
      <c r="Q154" t="b">
        <v>1</v>
      </c>
      <c r="R154">
        <v>0.75</v>
      </c>
    </row>
    <row r="155" spans="1:18" x14ac:dyDescent="0.3">
      <c r="A155" t="s">
        <v>559</v>
      </c>
      <c r="B155" t="s">
        <v>563</v>
      </c>
      <c r="C155" t="s">
        <v>561</v>
      </c>
      <c r="D155" t="s">
        <v>240</v>
      </c>
      <c r="E155" t="s">
        <v>763</v>
      </c>
      <c r="F155">
        <v>1</v>
      </c>
      <c r="G155" t="s">
        <v>941</v>
      </c>
      <c r="H155" s="101">
        <v>45848</v>
      </c>
      <c r="I155" s="101">
        <v>402133</v>
      </c>
      <c r="J155" t="s">
        <v>562</v>
      </c>
      <c r="K155">
        <v>3.61</v>
      </c>
      <c r="L155">
        <v>4.6000000000000001E-4</v>
      </c>
      <c r="M155" t="s">
        <v>562</v>
      </c>
      <c r="N155" s="102">
        <v>7.61</v>
      </c>
      <c r="O155" s="102">
        <v>0.75</v>
      </c>
      <c r="P155" t="s">
        <v>562</v>
      </c>
      <c r="Q155" t="b">
        <v>1</v>
      </c>
      <c r="R155">
        <v>0.7</v>
      </c>
    </row>
    <row r="156" spans="1:18" x14ac:dyDescent="0.3">
      <c r="A156" t="s">
        <v>559</v>
      </c>
      <c r="B156" t="s">
        <v>563</v>
      </c>
      <c r="C156" t="s">
        <v>561</v>
      </c>
      <c r="D156" t="s">
        <v>241</v>
      </c>
      <c r="E156" t="s">
        <v>764</v>
      </c>
      <c r="F156">
        <v>1</v>
      </c>
      <c r="G156" t="s">
        <v>942</v>
      </c>
      <c r="H156" s="101">
        <v>45848</v>
      </c>
      <c r="I156" s="101">
        <v>402133</v>
      </c>
      <c r="J156" t="s">
        <v>562</v>
      </c>
      <c r="K156">
        <v>4.28</v>
      </c>
      <c r="L156">
        <v>4.2999999999999999E-4</v>
      </c>
      <c r="M156" t="s">
        <v>562</v>
      </c>
      <c r="N156" s="102">
        <v>5.38</v>
      </c>
      <c r="O156" s="102">
        <v>1.5</v>
      </c>
      <c r="P156" t="s">
        <v>562</v>
      </c>
      <c r="Q156" t="b">
        <v>1</v>
      </c>
      <c r="R156">
        <v>0.75</v>
      </c>
    </row>
    <row r="157" spans="1:18" x14ac:dyDescent="0.3">
      <c r="A157" t="s">
        <v>559</v>
      </c>
      <c r="B157" t="s">
        <v>563</v>
      </c>
      <c r="C157" t="s">
        <v>561</v>
      </c>
      <c r="D157" t="s">
        <v>242</v>
      </c>
      <c r="E157" t="s">
        <v>765</v>
      </c>
      <c r="F157">
        <v>1</v>
      </c>
      <c r="G157" t="s">
        <v>943</v>
      </c>
      <c r="H157" s="101">
        <v>45848</v>
      </c>
      <c r="I157" s="101">
        <v>402133</v>
      </c>
      <c r="J157" t="s">
        <v>562</v>
      </c>
      <c r="K157">
        <v>3.41</v>
      </c>
      <c r="L157">
        <v>3.4000000000000002E-4</v>
      </c>
      <c r="M157" t="s">
        <v>562</v>
      </c>
      <c r="N157" s="102">
        <v>3.52</v>
      </c>
      <c r="O157" s="102">
        <v>0.75</v>
      </c>
      <c r="P157" t="s">
        <v>562</v>
      </c>
      <c r="Q157" t="b">
        <v>1</v>
      </c>
      <c r="R157">
        <v>0.7</v>
      </c>
    </row>
    <row r="158" spans="1:18" x14ac:dyDescent="0.3">
      <c r="A158" t="s">
        <v>559</v>
      </c>
      <c r="B158" t="s">
        <v>563</v>
      </c>
      <c r="C158" t="s">
        <v>561</v>
      </c>
      <c r="D158" t="s">
        <v>243</v>
      </c>
      <c r="E158" t="s">
        <v>766</v>
      </c>
      <c r="F158">
        <v>1</v>
      </c>
      <c r="G158" t="s">
        <v>944</v>
      </c>
      <c r="H158" s="101">
        <v>45848</v>
      </c>
      <c r="I158" s="101">
        <v>402133</v>
      </c>
      <c r="J158" t="s">
        <v>562</v>
      </c>
      <c r="K158">
        <v>10.87</v>
      </c>
      <c r="L158">
        <v>1.2199999999999999E-3</v>
      </c>
      <c r="M158" t="s">
        <v>562</v>
      </c>
      <c r="N158" s="102">
        <v>2.37</v>
      </c>
      <c r="O158" s="102">
        <v>1.5</v>
      </c>
      <c r="P158" t="s">
        <v>562</v>
      </c>
      <c r="Q158" t="b">
        <v>1</v>
      </c>
      <c r="R158">
        <v>0.75</v>
      </c>
    </row>
    <row r="159" spans="1:18" x14ac:dyDescent="0.3">
      <c r="A159" t="s">
        <v>559</v>
      </c>
      <c r="B159" t="s">
        <v>563</v>
      </c>
      <c r="C159" t="s">
        <v>561</v>
      </c>
      <c r="D159" t="s">
        <v>244</v>
      </c>
      <c r="E159" t="s">
        <v>767</v>
      </c>
      <c r="F159">
        <v>1</v>
      </c>
      <c r="G159" t="s">
        <v>945</v>
      </c>
      <c r="H159" s="101">
        <v>45848</v>
      </c>
      <c r="I159" s="101">
        <v>402133</v>
      </c>
      <c r="J159" t="s">
        <v>562</v>
      </c>
      <c r="K159">
        <v>9.94</v>
      </c>
      <c r="L159">
        <v>1.1199999999999999E-3</v>
      </c>
      <c r="M159" t="s">
        <v>562</v>
      </c>
      <c r="N159" s="102">
        <v>3.4</v>
      </c>
      <c r="O159" s="102">
        <v>0.75</v>
      </c>
      <c r="P159" t="s">
        <v>562</v>
      </c>
      <c r="Q159" t="b">
        <v>1</v>
      </c>
      <c r="R159">
        <v>0.7</v>
      </c>
    </row>
    <row r="160" spans="1:18" x14ac:dyDescent="0.3">
      <c r="A160" t="s">
        <v>559</v>
      </c>
      <c r="B160" t="s">
        <v>563</v>
      </c>
      <c r="C160" t="s">
        <v>561</v>
      </c>
      <c r="D160" t="s">
        <v>245</v>
      </c>
      <c r="E160" t="s">
        <v>768</v>
      </c>
      <c r="F160">
        <v>1</v>
      </c>
      <c r="G160" t="s">
        <v>946</v>
      </c>
      <c r="H160" s="101">
        <v>45848</v>
      </c>
      <c r="I160" s="101">
        <v>402133</v>
      </c>
      <c r="J160" t="s">
        <v>562</v>
      </c>
      <c r="K160">
        <v>5.25</v>
      </c>
      <c r="L160">
        <v>6.4000000000000005E-4</v>
      </c>
      <c r="M160" t="s">
        <v>562</v>
      </c>
      <c r="N160" s="102">
        <v>2.99</v>
      </c>
      <c r="O160" s="102">
        <v>1.5</v>
      </c>
      <c r="P160" t="s">
        <v>562</v>
      </c>
      <c r="Q160" t="b">
        <v>1</v>
      </c>
      <c r="R160">
        <v>0.75</v>
      </c>
    </row>
    <row r="161" spans="1:18" x14ac:dyDescent="0.3">
      <c r="A161" t="s">
        <v>559</v>
      </c>
      <c r="B161" t="s">
        <v>563</v>
      </c>
      <c r="C161" t="s">
        <v>561</v>
      </c>
      <c r="D161" t="s">
        <v>246</v>
      </c>
      <c r="E161" t="s">
        <v>769</v>
      </c>
      <c r="F161">
        <v>1</v>
      </c>
      <c r="G161" t="s">
        <v>947</v>
      </c>
      <c r="H161" s="101">
        <v>45848</v>
      </c>
      <c r="I161" s="101">
        <v>402133</v>
      </c>
      <c r="J161" t="s">
        <v>562</v>
      </c>
      <c r="K161">
        <v>4.5999999999999996</v>
      </c>
      <c r="L161">
        <v>5.5999999999999995E-4</v>
      </c>
      <c r="M161" t="s">
        <v>562</v>
      </c>
      <c r="N161" s="102">
        <v>3.64</v>
      </c>
      <c r="O161" s="102">
        <v>0.75</v>
      </c>
      <c r="P161" t="s">
        <v>562</v>
      </c>
      <c r="Q161" t="b">
        <v>1</v>
      </c>
      <c r="R161">
        <v>0.7</v>
      </c>
    </row>
    <row r="162" spans="1:18" x14ac:dyDescent="0.3">
      <c r="A162" t="s">
        <v>559</v>
      </c>
      <c r="B162" t="s">
        <v>563</v>
      </c>
      <c r="C162" t="s">
        <v>561</v>
      </c>
      <c r="D162" t="s">
        <v>247</v>
      </c>
      <c r="E162" t="s">
        <v>770</v>
      </c>
      <c r="F162">
        <v>1</v>
      </c>
      <c r="G162" t="s">
        <v>948</v>
      </c>
      <c r="H162" s="101">
        <v>45848</v>
      </c>
      <c r="I162" s="101">
        <v>402133</v>
      </c>
      <c r="J162" t="s">
        <v>562</v>
      </c>
      <c r="K162">
        <v>7.38</v>
      </c>
      <c r="L162">
        <v>9.6000000000000002E-4</v>
      </c>
      <c r="M162" t="s">
        <v>562</v>
      </c>
      <c r="N162" s="102">
        <v>1.92</v>
      </c>
      <c r="O162" s="102">
        <v>1.5</v>
      </c>
      <c r="P162" t="s">
        <v>562</v>
      </c>
      <c r="Q162" t="b">
        <v>1</v>
      </c>
      <c r="R162">
        <v>0.75</v>
      </c>
    </row>
    <row r="163" spans="1:18" x14ac:dyDescent="0.3">
      <c r="A163" t="s">
        <v>559</v>
      </c>
      <c r="B163" t="s">
        <v>563</v>
      </c>
      <c r="C163" t="s">
        <v>561</v>
      </c>
      <c r="D163" t="s">
        <v>248</v>
      </c>
      <c r="E163" t="s">
        <v>771</v>
      </c>
      <c r="F163">
        <v>1</v>
      </c>
      <c r="G163" t="s">
        <v>949</v>
      </c>
      <c r="H163" s="101">
        <v>45848</v>
      </c>
      <c r="I163" s="101">
        <v>402133</v>
      </c>
      <c r="J163" t="s">
        <v>562</v>
      </c>
      <c r="K163">
        <v>7.36</v>
      </c>
      <c r="L163">
        <v>9.5E-4</v>
      </c>
      <c r="M163" t="s">
        <v>562</v>
      </c>
      <c r="N163" s="102">
        <v>2.11</v>
      </c>
      <c r="O163" s="102">
        <v>0.75</v>
      </c>
      <c r="P163" t="s">
        <v>562</v>
      </c>
      <c r="Q163" t="b">
        <v>1</v>
      </c>
      <c r="R163">
        <v>0.7</v>
      </c>
    </row>
    <row r="164" spans="1:18" x14ac:dyDescent="0.3">
      <c r="A164" t="s">
        <v>559</v>
      </c>
      <c r="B164" t="s">
        <v>563</v>
      </c>
      <c r="C164" t="s">
        <v>561</v>
      </c>
      <c r="D164" t="s">
        <v>249</v>
      </c>
      <c r="E164" t="s">
        <v>772</v>
      </c>
      <c r="F164">
        <v>1</v>
      </c>
      <c r="G164" t="s">
        <v>950</v>
      </c>
      <c r="H164" s="101">
        <v>45848</v>
      </c>
      <c r="I164" s="101">
        <v>402133</v>
      </c>
      <c r="J164" t="s">
        <v>562</v>
      </c>
      <c r="K164">
        <v>4.5199999999999996</v>
      </c>
      <c r="L164">
        <v>5.6999999999999998E-4</v>
      </c>
      <c r="M164" t="s">
        <v>562</v>
      </c>
      <c r="N164" s="102">
        <v>1.1599999999999999</v>
      </c>
      <c r="O164" s="102">
        <v>1.5</v>
      </c>
      <c r="P164" t="s">
        <v>562</v>
      </c>
      <c r="Q164" t="b">
        <v>1</v>
      </c>
      <c r="R164">
        <v>0.75</v>
      </c>
    </row>
    <row r="165" spans="1:18" x14ac:dyDescent="0.3">
      <c r="A165" t="s">
        <v>559</v>
      </c>
      <c r="B165" t="s">
        <v>563</v>
      </c>
      <c r="C165" t="s">
        <v>561</v>
      </c>
      <c r="D165" t="s">
        <v>250</v>
      </c>
      <c r="E165" t="s">
        <v>773</v>
      </c>
      <c r="F165">
        <v>1</v>
      </c>
      <c r="G165" t="s">
        <v>951</v>
      </c>
      <c r="H165" s="101">
        <v>45848</v>
      </c>
      <c r="I165" s="101">
        <v>402133</v>
      </c>
      <c r="J165" t="s">
        <v>562</v>
      </c>
      <c r="K165">
        <v>4.3499999999999996</v>
      </c>
      <c r="L165">
        <v>5.5000000000000003E-4</v>
      </c>
      <c r="M165" t="s">
        <v>562</v>
      </c>
      <c r="N165" s="102">
        <v>2.2799999999999998</v>
      </c>
      <c r="O165" s="102">
        <v>0.75</v>
      </c>
      <c r="P165" t="s">
        <v>562</v>
      </c>
      <c r="Q165" t="b">
        <v>1</v>
      </c>
      <c r="R165">
        <v>0.7</v>
      </c>
    </row>
    <row r="166" spans="1:18" x14ac:dyDescent="0.3">
      <c r="A166" t="s">
        <v>559</v>
      </c>
      <c r="B166" t="s">
        <v>563</v>
      </c>
      <c r="C166" t="s">
        <v>561</v>
      </c>
      <c r="D166" t="s">
        <v>251</v>
      </c>
      <c r="E166" t="s">
        <v>774</v>
      </c>
      <c r="F166">
        <v>1</v>
      </c>
      <c r="G166" t="s">
        <v>952</v>
      </c>
      <c r="H166" s="101">
        <v>45848</v>
      </c>
      <c r="I166" s="101">
        <v>402133</v>
      </c>
      <c r="J166" t="s">
        <v>562</v>
      </c>
      <c r="K166">
        <v>5.08</v>
      </c>
      <c r="L166">
        <v>6.4000000000000005E-4</v>
      </c>
      <c r="M166" t="s">
        <v>562</v>
      </c>
      <c r="N166" s="102">
        <v>1.96</v>
      </c>
      <c r="O166" s="102">
        <v>1.5</v>
      </c>
      <c r="P166" t="s">
        <v>562</v>
      </c>
      <c r="Q166" t="b">
        <v>1</v>
      </c>
      <c r="R166">
        <v>0.75</v>
      </c>
    </row>
    <row r="167" spans="1:18" x14ac:dyDescent="0.3">
      <c r="A167" t="s">
        <v>559</v>
      </c>
      <c r="B167" t="s">
        <v>563</v>
      </c>
      <c r="C167" t="s">
        <v>561</v>
      </c>
      <c r="D167" t="s">
        <v>252</v>
      </c>
      <c r="E167" t="s">
        <v>775</v>
      </c>
      <c r="F167">
        <v>1</v>
      </c>
      <c r="G167" t="s">
        <v>953</v>
      </c>
      <c r="H167" s="101">
        <v>45848</v>
      </c>
      <c r="I167" s="101">
        <v>402133</v>
      </c>
      <c r="J167" t="s">
        <v>562</v>
      </c>
      <c r="K167">
        <v>4.5599999999999996</v>
      </c>
      <c r="L167">
        <v>5.8E-4</v>
      </c>
      <c r="M167" t="s">
        <v>562</v>
      </c>
      <c r="N167" s="102">
        <v>2.2400000000000002</v>
      </c>
      <c r="O167" s="102">
        <v>0.75</v>
      </c>
      <c r="P167" t="s">
        <v>562</v>
      </c>
      <c r="Q167" t="b">
        <v>1</v>
      </c>
      <c r="R167">
        <v>0.7</v>
      </c>
    </row>
    <row r="168" spans="1:18" x14ac:dyDescent="0.3">
      <c r="A168" t="s">
        <v>559</v>
      </c>
      <c r="B168" t="s">
        <v>563</v>
      </c>
      <c r="C168" t="s">
        <v>561</v>
      </c>
      <c r="D168" t="s">
        <v>253</v>
      </c>
      <c r="E168" t="s">
        <v>776</v>
      </c>
      <c r="F168">
        <v>1</v>
      </c>
      <c r="G168" t="s">
        <v>954</v>
      </c>
      <c r="H168" s="101">
        <v>45848</v>
      </c>
      <c r="I168" s="101">
        <v>402133</v>
      </c>
      <c r="J168" t="s">
        <v>562</v>
      </c>
      <c r="K168">
        <v>5.38</v>
      </c>
      <c r="L168">
        <v>5.4000000000000001E-4</v>
      </c>
      <c r="M168" t="s">
        <v>562</v>
      </c>
      <c r="N168" s="102">
        <v>3.88</v>
      </c>
      <c r="O168" s="102">
        <v>1.5</v>
      </c>
      <c r="P168" t="s">
        <v>562</v>
      </c>
      <c r="Q168" t="b">
        <v>1</v>
      </c>
      <c r="R168">
        <v>0.75</v>
      </c>
    </row>
    <row r="169" spans="1:18" x14ac:dyDescent="0.3">
      <c r="A169" t="s">
        <v>559</v>
      </c>
      <c r="B169" t="s">
        <v>563</v>
      </c>
      <c r="C169" t="s">
        <v>561</v>
      </c>
      <c r="D169" t="s">
        <v>254</v>
      </c>
      <c r="E169" t="s">
        <v>777</v>
      </c>
      <c r="F169">
        <v>1</v>
      </c>
      <c r="G169" t="s">
        <v>955</v>
      </c>
      <c r="H169" s="101">
        <v>45848</v>
      </c>
      <c r="I169" s="101">
        <v>402133</v>
      </c>
      <c r="J169" t="s">
        <v>562</v>
      </c>
      <c r="K169">
        <v>7.21</v>
      </c>
      <c r="L169">
        <v>7.2000000000000005E-4</v>
      </c>
      <c r="M169" t="s">
        <v>562</v>
      </c>
      <c r="N169" s="102">
        <v>3.93</v>
      </c>
      <c r="O169" s="102">
        <v>0.75</v>
      </c>
      <c r="P169" t="s">
        <v>562</v>
      </c>
      <c r="Q169" t="b">
        <v>1</v>
      </c>
      <c r="R169">
        <v>0.7</v>
      </c>
    </row>
    <row r="170" spans="1:18" x14ac:dyDescent="0.3">
      <c r="A170" t="s">
        <v>559</v>
      </c>
      <c r="B170" t="s">
        <v>563</v>
      </c>
      <c r="C170" t="s">
        <v>561</v>
      </c>
      <c r="D170" t="s">
        <v>255</v>
      </c>
      <c r="E170" t="s">
        <v>778</v>
      </c>
      <c r="F170">
        <v>1</v>
      </c>
      <c r="G170" t="s">
        <v>956</v>
      </c>
      <c r="H170" s="101">
        <v>45848</v>
      </c>
      <c r="I170" s="101">
        <v>402133</v>
      </c>
      <c r="J170" t="s">
        <v>562</v>
      </c>
      <c r="K170">
        <v>4.9400000000000004</v>
      </c>
      <c r="L170">
        <v>4.8999999999999998E-4</v>
      </c>
      <c r="M170" t="s">
        <v>562</v>
      </c>
      <c r="N170" s="102">
        <v>2.15</v>
      </c>
      <c r="O170" s="102">
        <v>1.5</v>
      </c>
      <c r="P170" t="s">
        <v>562</v>
      </c>
      <c r="Q170" t="b">
        <v>1</v>
      </c>
      <c r="R170">
        <v>0.75</v>
      </c>
    </row>
    <row r="171" spans="1:18" x14ac:dyDescent="0.3">
      <c r="A171" t="s">
        <v>559</v>
      </c>
      <c r="B171" t="s">
        <v>563</v>
      </c>
      <c r="C171" t="s">
        <v>561</v>
      </c>
      <c r="D171" t="s">
        <v>256</v>
      </c>
      <c r="E171" t="s">
        <v>779</v>
      </c>
      <c r="F171">
        <v>1</v>
      </c>
      <c r="G171" t="s">
        <v>957</v>
      </c>
      <c r="H171" s="101">
        <v>45848</v>
      </c>
      <c r="I171" s="101">
        <v>402133</v>
      </c>
      <c r="J171" t="s">
        <v>562</v>
      </c>
      <c r="K171">
        <v>4.97</v>
      </c>
      <c r="L171">
        <v>5.0000000000000001E-4</v>
      </c>
      <c r="M171" t="s">
        <v>562</v>
      </c>
      <c r="N171" s="102">
        <v>2.52</v>
      </c>
      <c r="O171" s="102">
        <v>0.75</v>
      </c>
      <c r="P171" t="s">
        <v>562</v>
      </c>
      <c r="Q171" t="b">
        <v>1</v>
      </c>
      <c r="R171">
        <v>0.7</v>
      </c>
    </row>
    <row r="172" spans="1:18" x14ac:dyDescent="0.3">
      <c r="A172" t="s">
        <v>559</v>
      </c>
      <c r="B172" t="s">
        <v>563</v>
      </c>
      <c r="C172" t="s">
        <v>561</v>
      </c>
      <c r="D172" t="s">
        <v>257</v>
      </c>
      <c r="E172" t="s">
        <v>780</v>
      </c>
      <c r="F172">
        <v>1</v>
      </c>
      <c r="G172" t="s">
        <v>958</v>
      </c>
      <c r="H172" s="101">
        <v>45848</v>
      </c>
      <c r="I172" s="101">
        <v>402133</v>
      </c>
      <c r="J172" t="s">
        <v>562</v>
      </c>
      <c r="K172">
        <v>6.54</v>
      </c>
      <c r="L172">
        <v>6.4999999999999997E-4</v>
      </c>
      <c r="M172" t="s">
        <v>562</v>
      </c>
      <c r="N172" s="102">
        <v>4.32</v>
      </c>
      <c r="O172" s="102">
        <v>1.5</v>
      </c>
      <c r="P172" t="s">
        <v>562</v>
      </c>
      <c r="Q172" t="b">
        <v>1</v>
      </c>
      <c r="R172">
        <v>0.75</v>
      </c>
    </row>
    <row r="173" spans="1:18" x14ac:dyDescent="0.3">
      <c r="A173" t="s">
        <v>559</v>
      </c>
      <c r="B173" t="s">
        <v>563</v>
      </c>
      <c r="C173" t="s">
        <v>561</v>
      </c>
      <c r="D173" t="s">
        <v>258</v>
      </c>
      <c r="E173" t="s">
        <v>781</v>
      </c>
      <c r="F173">
        <v>1</v>
      </c>
      <c r="G173" t="s">
        <v>959</v>
      </c>
      <c r="H173" s="101">
        <v>45848</v>
      </c>
      <c r="I173" s="101">
        <v>402133</v>
      </c>
      <c r="J173" t="s">
        <v>562</v>
      </c>
      <c r="K173">
        <v>7.62</v>
      </c>
      <c r="L173">
        <v>7.6000000000000004E-4</v>
      </c>
      <c r="M173" t="s">
        <v>562</v>
      </c>
      <c r="N173" s="102">
        <v>5.0999999999999996</v>
      </c>
      <c r="O173" s="102">
        <v>0.75</v>
      </c>
      <c r="P173" t="s">
        <v>562</v>
      </c>
      <c r="Q173" t="b">
        <v>1</v>
      </c>
      <c r="R173">
        <v>0.7</v>
      </c>
    </row>
    <row r="174" spans="1:18" x14ac:dyDescent="0.3">
      <c r="A174" t="s">
        <v>559</v>
      </c>
      <c r="B174" t="s">
        <v>563</v>
      </c>
      <c r="C174" t="s">
        <v>561</v>
      </c>
      <c r="D174" t="s">
        <v>259</v>
      </c>
      <c r="E174" t="s">
        <v>782</v>
      </c>
      <c r="F174">
        <v>1</v>
      </c>
      <c r="G174" t="s">
        <v>960</v>
      </c>
      <c r="H174" s="101">
        <v>45848</v>
      </c>
      <c r="I174" s="101">
        <v>402133</v>
      </c>
      <c r="J174" t="s">
        <v>562</v>
      </c>
      <c r="K174">
        <v>8</v>
      </c>
      <c r="L174">
        <v>8.0000000000000004E-4</v>
      </c>
      <c r="M174" t="s">
        <v>562</v>
      </c>
      <c r="N174" s="102">
        <v>3.39</v>
      </c>
      <c r="O174" s="102">
        <v>1.5</v>
      </c>
      <c r="P174" t="s">
        <v>562</v>
      </c>
      <c r="Q174" t="b">
        <v>1</v>
      </c>
      <c r="R174">
        <v>0.75</v>
      </c>
    </row>
    <row r="175" spans="1:18" x14ac:dyDescent="0.3">
      <c r="A175" t="s">
        <v>559</v>
      </c>
      <c r="B175" t="s">
        <v>563</v>
      </c>
      <c r="C175" t="s">
        <v>561</v>
      </c>
      <c r="D175" t="s">
        <v>260</v>
      </c>
      <c r="E175" t="s">
        <v>783</v>
      </c>
      <c r="F175">
        <v>1</v>
      </c>
      <c r="G175" t="s">
        <v>961</v>
      </c>
      <c r="H175" s="101">
        <v>45848</v>
      </c>
      <c r="I175" s="101">
        <v>402133</v>
      </c>
      <c r="J175" t="s">
        <v>562</v>
      </c>
      <c r="K175">
        <v>6.47</v>
      </c>
      <c r="L175">
        <v>6.4999999999999997E-4</v>
      </c>
      <c r="M175" t="s">
        <v>562</v>
      </c>
      <c r="N175" s="102">
        <v>11.65</v>
      </c>
      <c r="O175" s="102">
        <v>0.75</v>
      </c>
      <c r="P175" t="s">
        <v>562</v>
      </c>
      <c r="Q175" t="b">
        <v>1</v>
      </c>
      <c r="R175">
        <v>0.7</v>
      </c>
    </row>
    <row r="176" spans="1:18" x14ac:dyDescent="0.3">
      <c r="A176" t="s">
        <v>559</v>
      </c>
      <c r="B176" t="s">
        <v>563</v>
      </c>
      <c r="C176" t="s">
        <v>561</v>
      </c>
      <c r="D176" t="s">
        <v>261</v>
      </c>
      <c r="E176" t="s">
        <v>784</v>
      </c>
      <c r="F176">
        <v>1</v>
      </c>
      <c r="G176" t="s">
        <v>962</v>
      </c>
      <c r="H176" s="101">
        <v>45848</v>
      </c>
      <c r="I176" s="101">
        <v>402133</v>
      </c>
      <c r="J176" t="s">
        <v>562</v>
      </c>
      <c r="K176">
        <v>3.69</v>
      </c>
      <c r="L176">
        <v>1.9000000000000001E-4</v>
      </c>
      <c r="M176" t="s">
        <v>562</v>
      </c>
      <c r="N176" s="102">
        <v>3.53</v>
      </c>
      <c r="O176" s="102">
        <v>1.5</v>
      </c>
      <c r="P176" t="s">
        <v>562</v>
      </c>
      <c r="Q176" t="b">
        <v>1</v>
      </c>
      <c r="R176">
        <v>0.75</v>
      </c>
    </row>
    <row r="177" spans="1:18" x14ac:dyDescent="0.3">
      <c r="A177" t="s">
        <v>559</v>
      </c>
      <c r="B177" t="s">
        <v>563</v>
      </c>
      <c r="C177" t="s">
        <v>561</v>
      </c>
      <c r="D177" t="s">
        <v>262</v>
      </c>
      <c r="E177" t="s">
        <v>785</v>
      </c>
      <c r="F177">
        <v>1</v>
      </c>
      <c r="G177" t="s">
        <v>963</v>
      </c>
      <c r="H177" s="101">
        <v>45848</v>
      </c>
      <c r="I177" s="101">
        <v>402133</v>
      </c>
      <c r="J177" t="s">
        <v>562</v>
      </c>
      <c r="K177">
        <v>3.15</v>
      </c>
      <c r="L177">
        <v>1.6000000000000001E-4</v>
      </c>
      <c r="M177" t="s">
        <v>562</v>
      </c>
      <c r="N177" s="102">
        <v>5.52</v>
      </c>
      <c r="O177" s="102">
        <v>0.75</v>
      </c>
      <c r="P177" t="s">
        <v>562</v>
      </c>
      <c r="Q177" t="b">
        <v>1</v>
      </c>
      <c r="R177">
        <v>0.7</v>
      </c>
    </row>
    <row r="178" spans="1:18" x14ac:dyDescent="0.3">
      <c r="A178" t="s">
        <v>559</v>
      </c>
      <c r="B178" t="s">
        <v>563</v>
      </c>
      <c r="C178" t="s">
        <v>561</v>
      </c>
      <c r="D178" t="s">
        <v>263</v>
      </c>
      <c r="E178" t="s">
        <v>786</v>
      </c>
      <c r="F178">
        <v>1</v>
      </c>
      <c r="G178" t="s">
        <v>964</v>
      </c>
      <c r="H178" s="101">
        <v>45848</v>
      </c>
      <c r="I178" s="101">
        <v>402133</v>
      </c>
      <c r="J178" t="s">
        <v>562</v>
      </c>
      <c r="K178">
        <v>6.12</v>
      </c>
      <c r="L178">
        <v>9.1E-4</v>
      </c>
      <c r="M178" t="s">
        <v>562</v>
      </c>
      <c r="N178" s="102">
        <v>2.0099999999999998</v>
      </c>
      <c r="O178" s="102">
        <v>1.5</v>
      </c>
      <c r="P178" t="s">
        <v>562</v>
      </c>
      <c r="Q178" t="b">
        <v>1</v>
      </c>
      <c r="R178">
        <v>0.75</v>
      </c>
    </row>
    <row r="179" spans="1:18" x14ac:dyDescent="0.3">
      <c r="A179" t="s">
        <v>559</v>
      </c>
      <c r="B179" t="s">
        <v>563</v>
      </c>
      <c r="C179" t="s">
        <v>561</v>
      </c>
      <c r="D179" t="s">
        <v>264</v>
      </c>
      <c r="E179" t="s">
        <v>787</v>
      </c>
      <c r="F179">
        <v>1</v>
      </c>
      <c r="G179" t="s">
        <v>965</v>
      </c>
      <c r="H179" s="101">
        <v>45848</v>
      </c>
      <c r="I179" s="101">
        <v>402133</v>
      </c>
      <c r="J179" t="s">
        <v>562</v>
      </c>
      <c r="K179">
        <v>5.21</v>
      </c>
      <c r="L179">
        <v>7.7999999999999999E-4</v>
      </c>
      <c r="M179" t="s">
        <v>562</v>
      </c>
      <c r="N179" s="102">
        <v>2.5299999999999998</v>
      </c>
      <c r="O179" s="102">
        <v>0.75</v>
      </c>
      <c r="P179" t="s">
        <v>562</v>
      </c>
      <c r="Q179" t="b">
        <v>1</v>
      </c>
      <c r="R179">
        <v>0.7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4C41D6D1973A4F89556BB16F1F788D" ma:contentTypeVersion="16" ma:contentTypeDescription="Create a new document." ma:contentTypeScope="" ma:versionID="43f8d730be694f4b4f83269661cdc1cf">
  <xsd:schema xmlns:xsd="http://www.w3.org/2001/XMLSchema" xmlns:xs="http://www.w3.org/2001/XMLSchema" xmlns:p="http://schemas.microsoft.com/office/2006/metadata/properties" xmlns:ns2="06cb6719-cd50-4166-8ff6-7d6ccbab2673" xmlns:ns3="68591eb6-f205-4484-98f5-1f01454844a1" targetNamespace="http://schemas.microsoft.com/office/2006/metadata/properties" ma:root="true" ma:fieldsID="3f0776480b6ca418cec9c1ffda00d89f" ns2:_="" ns3:_="">
    <xsd:import namespace="06cb6719-cd50-4166-8ff6-7d6ccbab2673"/>
    <xsd:import namespace="68591eb6-f205-4484-98f5-1f01454844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b6719-cd50-4166-8ff6-7d6ccbab2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b3d863c-210b-42fa-b5ce-68c0959d8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91eb6-f205-4484-98f5-1f01454844a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f9a3e0-5890-43df-b7b0-7a0cf55be8bc}" ma:internalName="TaxCatchAll" ma:showField="CatchAllData" ma:web="68591eb6-f205-4484-98f5-1f01454844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591eb6-f205-4484-98f5-1f01454844a1" xsi:nil="true"/>
    <lcf76f155ced4ddcb4097134ff3c332f xmlns="06cb6719-cd50-4166-8ff6-7d6ccbab26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78C0CD-2147-410B-B3EF-B7C8E7FCA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cb6719-cd50-4166-8ff6-7d6ccbab2673"/>
    <ds:schemaRef ds:uri="68591eb6-f205-4484-98f5-1f01454844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DEF686-C1F9-44D9-827A-8C6E71BEDB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50AA6-BE71-4287-BAFE-72A2B6BE355D}">
  <ds:schemaRefs>
    <ds:schemaRef ds:uri="http://www.w3.org/XML/1998/namespace"/>
    <ds:schemaRef ds:uri="http://purl.org/dc/terms/"/>
    <ds:schemaRef ds:uri="68591eb6-f205-4484-98f5-1f01454844a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06cb6719-cd50-4166-8ff6-7d6ccbab267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Express Input Form</vt:lpstr>
      <vt:lpstr>Summary</vt:lpstr>
      <vt:lpstr>PC Uploader</vt:lpstr>
      <vt:lpstr>Dropdown Tables</vt:lpstr>
      <vt:lpstr>Measure Table</vt:lpstr>
      <vt:lpstr>BuildingType</vt:lpstr>
      <vt:lpstr>FixtureClassification</vt:lpstr>
      <vt:lpstr>Incentives_Total</vt:lpstr>
      <vt:lpstr>kW_Rate</vt:lpstr>
      <vt:lpstr>kWh_Rate</vt:lpstr>
      <vt:lpstr>kWhSavings_Total</vt:lpstr>
      <vt:lpstr>kWSavings_Total</vt:lpstr>
      <vt:lpstr>Measure_Translator</vt:lpstr>
      <vt:lpstr>'Express Input Form'!Print_Area</vt:lpstr>
      <vt:lpstr>Summary!Print_Area</vt:lpstr>
      <vt:lpstr>Rate_Schedules</vt:lpstr>
      <vt:lpstr>SMBE_Eligible</vt:lpstr>
      <vt:lpstr>SMBEBuildingType</vt:lpstr>
      <vt:lpstr>TotalCost</vt:lpstr>
      <vt:lpstr>TotalProjectWattage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Todd Wood</dc:creator>
  <cp:lastModifiedBy>Danita Skoglund</cp:lastModifiedBy>
  <cp:lastPrinted>2025-07-03T18:30:12Z</cp:lastPrinted>
  <dcterms:created xsi:type="dcterms:W3CDTF">2025-06-24T21:56:25Z</dcterms:created>
  <dcterms:modified xsi:type="dcterms:W3CDTF">2025-07-10T22:31:02Z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0x0101009C4C41D6D1973A4F89556BB16F1F788D</vt:lpwstr>
  </property>
  <property fmtid="{D5CDD505-2E9C-101B-9397-08002B2CF9AE}" pid="3" name="MediaServiceImageTags">
    <vt:lpwstr/>
  </property>
</Properties>
</file>